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actions" sheetId="1" r:id="rId1"/>
  </sheets>
</workbook>
</file>

<file path=xl/styles.xml><?xml version="1.0" encoding="utf-8"?>
<styleSheet xmlns="http://schemas.openxmlformats.org/spreadsheetml/2006/main">
  <numFmts count="2">
    <numFmt numFmtId="164" formatCode="yyyy\-mm\-dd"/>
    <numFmt numFmtId="165" formatCode="#,##0.00;-#,##0.00"/>
  </numFmts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4">
    <xf numFmtId="0" fontId="0" applyFont="1"/>
    <xf numFmtId="0" fontId="1" applyFont="1"/>
    <xf numFmtId="164" fontId="0" applyNumberFormat="1"/>
    <xf numFmtId="165" fontId="0" applyNumberFormat="1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12" customWidth="1"/>
    <col min="2" max="2" width="52" customWidth="1"/>
    <col min="3" max="3" width="12" customWidth="1"/>
    <col min="4" max="4" width="12" customWidth="1"/>
    <col min="5" max="5" width="12" customWidth="1"/>
    <col min="6" max="6" width="13" customWidth="1"/>
    <col min="7" max="7" width="12" customWidth="1"/>
    <col min="8" max="8" width="18" customWidth="1"/>
    <col min="9" max="9" width="11" customWidth="1"/>
  </cols>
  <sheetData>
    <row r="1">
      <c r="A1" s="1" t="inlineStr">
        <is>
          <t xml:space="preserve">Date</t>
        </is>
      </c>
      <c r="B1" s="1" t="inlineStr">
        <is>
          <t xml:space="preserve">Description</t>
        </is>
      </c>
      <c r="C1" s="1" t="inlineStr">
        <is>
          <t xml:space="preserve">Amount</t>
        </is>
      </c>
      <c r="D1" s="1" t="inlineStr">
        <is>
          <t xml:space="preserve">Debit</t>
        </is>
      </c>
      <c r="E1" s="1" t="inlineStr">
        <is>
          <t xml:space="preserve">Credit</t>
        </is>
      </c>
      <c r="F1" s="1" t="inlineStr">
        <is>
          <t xml:space="preserve">Balance</t>
        </is>
      </c>
      <c r="G1" s="1" t="inlineStr">
        <is>
          <t xml:space="preserve">Check number</t>
        </is>
      </c>
      <c r="H1" s="1" t="inlineStr">
        <is>
          <t xml:space="preserve">Account</t>
        </is>
      </c>
      <c r="I1" s="1" t="inlineStr">
        <is>
          <t xml:space="preserve">Cited</t>
        </is>
      </c>
    </row>
    <row r="2">
      <c r="A2" s="2">
        <v>46143</v>
      </c>
      <c r="B2" s="0" t="inlineStr">
        <is>
          <t xml:space="preserve">ACH DEBIT KESTREL INDUSTRIAL PARK</t>
        </is>
      </c>
      <c r="C2" s="3">
        <v>-3875.0</v>
      </c>
      <c r="D2" s="3">
        <v>3875.0</v>
      </c>
      <c r="F2" s="3">
        <v>-1775.0</v>
      </c>
      <c r="H2" s="0" t="inlineStr">
        <is>
          <t xml:space="preserve">Meridian Commerce Bank ····3202</t>
        </is>
      </c>
      <c r="I2" s="0" t="str">
        <f>HYPERLINK("apex-statement-2026-05.pdf#page=1","A-1 p.1 l.1")</f>
        <v>A-1 p.1 l.1</v>
      </c>
    </row>
    <row r="3">
      <c r="A3" s="2">
        <v>46145</v>
      </c>
      <c r="B3" s="0" t="inlineStr">
        <is>
          <t xml:space="preserve">ACH DEBIT ONDECK CAPITAL REMIT</t>
        </is>
      </c>
      <c r="C3" s="3">
        <v>-312.0</v>
      </c>
      <c r="D3" s="3">
        <v>312.0</v>
      </c>
      <c r="F3" s="3">
        <v>-2087.0</v>
      </c>
      <c r="H3" s="0" t="inlineStr">
        <is>
          <t xml:space="preserve">Meridian Commerce Bank ····3202</t>
        </is>
      </c>
      <c r="I3" s="0" t="str">
        <f>HYPERLINK("apex-statement-2026-05.pdf#page=1","A-1 p.1 l.2")</f>
        <v>A-1 p.1 l.2</v>
      </c>
    </row>
    <row r="4">
      <c r="A4" s="2">
        <v>46146</v>
      </c>
      <c r="B4" s="0" t="inlineStr">
        <is>
          <t xml:space="preserve">ZELLE CREDIT</t>
        </is>
      </c>
      <c r="C4" s="3">
        <v>4995.63</v>
      </c>
      <c r="E4" s="3">
        <v>4995.63</v>
      </c>
      <c r="F4" s="3">
        <v>2908.63</v>
      </c>
      <c r="H4" s="0" t="inlineStr">
        <is>
          <t xml:space="preserve">Meridian Commerce Bank ····3202</t>
        </is>
      </c>
      <c r="I4" s="0" t="str">
        <f>HYPERLINK("apex-statement-2026-05.pdf#page=1","A-1 p.1 l.3")</f>
        <v>A-1 p.1 l.3</v>
      </c>
    </row>
    <row r="5">
      <c r="A5" s="2">
        <v>46146</v>
      </c>
      <c r="B5" s="0" t="inlineStr">
        <is>
          <t xml:space="preserve">ACH DEBIT ONDECK CAPITAL REMIT</t>
        </is>
      </c>
      <c r="C5" s="3">
        <v>-312.0</v>
      </c>
      <c r="D5" s="3">
        <v>312.0</v>
      </c>
      <c r="F5" s="3">
        <v>2596.63</v>
      </c>
      <c r="H5" s="0" t="inlineStr">
        <is>
          <t xml:space="preserve">Meridian Commerce Bank ····3202</t>
        </is>
      </c>
      <c r="I5" s="0" t="str">
        <f>HYPERLINK("apex-statement-2026-05.pdf#page=1","A-1 p.1 l.4")</f>
        <v>A-1 p.1 l.4</v>
      </c>
    </row>
    <row r="6">
      <c r="A6" s="2">
        <v>46147</v>
      </c>
      <c r="B6" s="0" t="inlineStr">
        <is>
          <t xml:space="preserve">REMOTE DEPOSIT CAPTURE</t>
        </is>
      </c>
      <c r="C6" s="3">
        <v>4576.11</v>
      </c>
      <c r="E6" s="3">
        <v>4576.11</v>
      </c>
      <c r="F6" s="3">
        <v>7172.74</v>
      </c>
      <c r="H6" s="0" t="inlineStr">
        <is>
          <t xml:space="preserve">Meridian Commerce Bank ····3202</t>
        </is>
      </c>
      <c r="I6" s="0" t="str">
        <f>HYPERLINK("apex-statement-2026-05.pdf#page=1","A-1 p.1 l.5")</f>
        <v>A-1 p.1 l.5</v>
      </c>
    </row>
    <row r="7">
      <c r="A7" s="2">
        <v>46147</v>
      </c>
      <c r="B7" s="0" t="inlineStr">
        <is>
          <t xml:space="preserve">ACH DEBIT ONDECK CAPITAL REMIT</t>
        </is>
      </c>
      <c r="C7" s="3">
        <v>-312.0</v>
      </c>
      <c r="D7" s="3">
        <v>312.0</v>
      </c>
      <c r="F7" s="3">
        <v>6860.74</v>
      </c>
      <c r="H7" s="0" t="inlineStr">
        <is>
          <t xml:space="preserve">Meridian Commerce Bank ····3202</t>
        </is>
      </c>
      <c r="I7" s="0" t="str">
        <f>HYPERLINK("apex-statement-2026-05.pdf#page=1","A-1 p.1 l.6")</f>
        <v>A-1 p.1 l.6</v>
      </c>
    </row>
    <row r="8">
      <c r="A8" s="2">
        <v>46148</v>
      </c>
      <c r="B8" s="0" t="inlineStr">
        <is>
          <t xml:space="preserve">COUNTER DEPOSIT</t>
        </is>
      </c>
      <c r="C8" s="3">
        <v>4012.04</v>
      </c>
      <c r="E8" s="3">
        <v>4012.04</v>
      </c>
      <c r="F8" s="3">
        <v>10872.78</v>
      </c>
      <c r="H8" s="0" t="inlineStr">
        <is>
          <t xml:space="preserve">Meridian Commerce Bank ····3202</t>
        </is>
      </c>
      <c r="I8" s="0" t="str">
        <f>HYPERLINK("apex-statement-2026-05.pdf#page=1","A-1 p.1 l.7")</f>
        <v>A-1 p.1 l.7</v>
      </c>
    </row>
    <row r="9">
      <c r="A9" s="2">
        <v>46148</v>
      </c>
      <c r="B9" s="0" t="inlineStr">
        <is>
          <t xml:space="preserve">NSF RETURN ITEM FEE</t>
        </is>
      </c>
      <c r="C9" s="3">
        <v>-35.0</v>
      </c>
      <c r="D9" s="3">
        <v>35.0</v>
      </c>
      <c r="F9" s="3">
        <v>10837.78</v>
      </c>
      <c r="H9" s="0" t="inlineStr">
        <is>
          <t xml:space="preserve">Meridian Commerce Bank ····3202</t>
        </is>
      </c>
      <c r="I9" s="0" t="str">
        <f>HYPERLINK("apex-statement-2026-05.pdf#page=1","A-1 p.1 l.8")</f>
        <v>A-1 p.1 l.8</v>
      </c>
    </row>
    <row r="10">
      <c r="A10" s="2">
        <v>46148</v>
      </c>
      <c r="B10" s="0" t="inlineStr">
        <is>
          <t xml:space="preserve">NSF RETURN ITEM FEE</t>
        </is>
      </c>
      <c r="C10" s="3">
        <v>-35.0</v>
      </c>
      <c r="D10" s="3">
        <v>35.0</v>
      </c>
      <c r="F10" s="3">
        <v>10802.78</v>
      </c>
      <c r="H10" s="0" t="inlineStr">
        <is>
          <t xml:space="preserve">Meridian Commerce Bank ····3202</t>
        </is>
      </c>
      <c r="I10" s="0" t="str">
        <f>HYPERLINK("apex-statement-2026-05.pdf#page=1","A-1 p.1 l.9")</f>
        <v>A-1 p.1 l.9</v>
      </c>
    </row>
    <row r="11">
      <c r="A11" s="2">
        <v>46148</v>
      </c>
      <c r="B11" s="0" t="inlineStr">
        <is>
          <t xml:space="preserve">ACH DEBIT ONDECK CAPITAL REMIT</t>
        </is>
      </c>
      <c r="C11" s="3">
        <v>-312.0</v>
      </c>
      <c r="D11" s="3">
        <v>312.0</v>
      </c>
      <c r="F11" s="3">
        <v>10490.78</v>
      </c>
      <c r="H11" s="0" t="inlineStr">
        <is>
          <t xml:space="preserve">Meridian Commerce Bank ····3202</t>
        </is>
      </c>
      <c r="I11" s="0" t="str">
        <f>HYPERLINK("apex-statement-2026-05.pdf#page=1","A-1 p.1 l.10")</f>
        <v>A-1 p.1 l.10</v>
      </c>
    </row>
    <row r="12">
      <c r="A12" s="2">
        <v>46148</v>
      </c>
      <c r="B12" s="0" t="inlineStr">
        <is>
          <t xml:space="preserve">POS PURCHASE SHELL OIL</t>
        </is>
      </c>
      <c r="C12" s="3">
        <v>-366.45</v>
      </c>
      <c r="D12" s="3">
        <v>366.45</v>
      </c>
      <c r="F12" s="3">
        <v>10124.33</v>
      </c>
      <c r="H12" s="0" t="inlineStr">
        <is>
          <t xml:space="preserve">Meridian Commerce Bank ····3202</t>
        </is>
      </c>
      <c r="I12" s="0" t="str">
        <f>HYPERLINK("apex-statement-2026-05.pdf#page=1","A-1 p.1 l.11")</f>
        <v>A-1 p.1 l.11</v>
      </c>
    </row>
    <row r="13">
      <c r="A13" s="2">
        <v>46148</v>
      </c>
      <c r="B13" s="0" t="inlineStr">
        <is>
          <t xml:space="preserve">RETURNED ITEM - INSUFFICIENT FUNDS</t>
        </is>
      </c>
      <c r="C13" s="3">
        <v>-410.05</v>
      </c>
      <c r="D13" s="3">
        <v>410.05</v>
      </c>
      <c r="F13" s="3">
        <v>9714.28</v>
      </c>
      <c r="H13" s="0" t="inlineStr">
        <is>
          <t xml:space="preserve">Meridian Commerce Bank ····3202</t>
        </is>
      </c>
      <c r="I13" s="0" t="str">
        <f>HYPERLINK("apex-statement-2026-05.pdf#page=1","A-1 p.1 l.12")</f>
        <v>A-1 p.1 l.12</v>
      </c>
    </row>
    <row r="14">
      <c r="A14" s="2">
        <v>46148</v>
      </c>
      <c r="B14" s="0" t="inlineStr">
        <is>
          <t xml:space="preserve">RETURNED ITEM - INSUFFICIENT FUNDS</t>
        </is>
      </c>
      <c r="C14" s="3">
        <v>-865.61</v>
      </c>
      <c r="D14" s="3">
        <v>865.61</v>
      </c>
      <c r="F14" s="3">
        <v>8848.67</v>
      </c>
      <c r="H14" s="0" t="inlineStr">
        <is>
          <t xml:space="preserve">Meridian Commerce Bank ····3202</t>
        </is>
      </c>
      <c r="I14" s="0" t="str">
        <f>HYPERLINK("apex-statement-2026-05.pdf#page=1","A-1 p.1 l.13")</f>
        <v>A-1 p.1 l.13</v>
      </c>
    </row>
    <row r="15">
      <c r="A15" s="2">
        <v>46149</v>
      </c>
      <c r="B15" s="0" t="inlineStr">
        <is>
          <t xml:space="preserve">ACH DEBIT ONDECK CAPITAL REMIT</t>
        </is>
      </c>
      <c r="C15" s="3">
        <v>-312.0</v>
      </c>
      <c r="D15" s="3">
        <v>312.0</v>
      </c>
      <c r="F15" s="3">
        <v>8536.67</v>
      </c>
      <c r="H15" s="0" t="inlineStr">
        <is>
          <t xml:space="preserve">Meridian Commerce Bank ····3202</t>
        </is>
      </c>
      <c r="I15" s="0" t="str">
        <f>HYPERLINK("apex-statement-2026-05.pdf#page=1","A-1 p.1 l.14")</f>
        <v>A-1 p.1 l.14</v>
      </c>
    </row>
    <row r="16">
      <c r="A16" s="2">
        <v>46149</v>
      </c>
      <c r="B16" s="0" t="inlineStr">
        <is>
          <t xml:space="preserve">POS PURCHASE GRAINGER</t>
        </is>
      </c>
      <c r="C16" s="3">
        <v>-324.49</v>
      </c>
      <c r="D16" s="3">
        <v>324.49</v>
      </c>
      <c r="F16" s="3">
        <v>8212.18</v>
      </c>
      <c r="H16" s="0" t="inlineStr">
        <is>
          <t xml:space="preserve">Meridian Commerce Bank ····3202</t>
        </is>
      </c>
      <c r="I16" s="0" t="str">
        <f>HYPERLINK("apex-statement-2026-05.pdf#page=1","A-1 p.1 l.15")</f>
        <v>A-1 p.1 l.15</v>
      </c>
    </row>
    <row r="17">
      <c r="A17" s="2">
        <v>46149</v>
      </c>
      <c r="B17" s="0" t="inlineStr">
        <is>
          <t xml:space="preserve">ACH DEBIT VADER MOUNTAIN CAP REMIT</t>
        </is>
      </c>
      <c r="C17" s="3">
        <v>-1850.0</v>
      </c>
      <c r="D17" s="3">
        <v>1850.0</v>
      </c>
      <c r="F17" s="3">
        <v>6362.18</v>
      </c>
      <c r="H17" s="0" t="inlineStr">
        <is>
          <t xml:space="preserve">Meridian Commerce Bank ····3202</t>
        </is>
      </c>
      <c r="I17" s="0" t="str">
        <f>HYPERLINK("apex-statement-2026-05.pdf#page=1","A-1 p.1 l.16")</f>
        <v>A-1 p.1 l.16</v>
      </c>
    </row>
    <row r="18">
      <c r="A18" s="2">
        <v>46150</v>
      </c>
      <c r="B18" s="0" t="inlineStr">
        <is>
          <t xml:space="preserve">REMOTE DEPOSIT CAPTURE</t>
        </is>
      </c>
      <c r="C18" s="3">
        <v>3295.0</v>
      </c>
      <c r="E18" s="3">
        <v>3295.0</v>
      </c>
      <c r="F18" s="3">
        <v>9657.18</v>
      </c>
      <c r="H18" s="0" t="inlineStr">
        <is>
          <t xml:space="preserve">Meridian Commerce Bank ····3202</t>
        </is>
      </c>
      <c r="I18" s="0" t="str">
        <f>HYPERLINK("apex-statement-2026-05.pdf#page=1","A-1 p.1 l.17")</f>
        <v>A-1 p.1 l.17</v>
      </c>
    </row>
    <row r="19">
      <c r="A19" s="2">
        <v>46150</v>
      </c>
      <c r="B19" s="0" t="inlineStr">
        <is>
          <t xml:space="preserve">ACH DEBIT ONDECK CAPITAL REMIT</t>
        </is>
      </c>
      <c r="C19" s="3">
        <v>-312.0</v>
      </c>
      <c r="D19" s="3">
        <v>312.0</v>
      </c>
      <c r="F19" s="3">
        <v>9345.18</v>
      </c>
      <c r="H19" s="0" t="inlineStr">
        <is>
          <t xml:space="preserve">Meridian Commerce Bank ····3202</t>
        </is>
      </c>
      <c r="I19" s="0" t="str">
        <f>HYPERLINK("apex-statement-2026-05.pdf#page=1","A-1 p.1 l.18")</f>
        <v>A-1 p.1 l.18</v>
      </c>
    </row>
    <row r="20">
      <c r="A20" s="2">
        <v>46150</v>
      </c>
      <c r="B20" s="0" t="inlineStr">
        <is>
          <t xml:space="preserve">POS PURCHASE SHELL OIL</t>
        </is>
      </c>
      <c r="C20" s="3">
        <v>-1400.44</v>
      </c>
      <c r="D20" s="3">
        <v>1400.44</v>
      </c>
      <c r="F20" s="3">
        <v>7944.74</v>
      </c>
      <c r="H20" s="0" t="inlineStr">
        <is>
          <t xml:space="preserve">Meridian Commerce Bank ····3202</t>
        </is>
      </c>
      <c r="I20" s="0" t="str">
        <f>HYPERLINK("apex-statement-2026-05.pdf#page=1","A-1 p.1 l.19")</f>
        <v>A-1 p.1 l.19</v>
      </c>
    </row>
    <row r="21">
      <c r="A21" s="2">
        <v>46151</v>
      </c>
      <c r="B21" s="0" t="inlineStr">
        <is>
          <t xml:space="preserve">POS PURCHASE SHELL OIL</t>
        </is>
      </c>
      <c r="C21" s="3">
        <v>-342.89</v>
      </c>
      <c r="D21" s="3">
        <v>342.89</v>
      </c>
      <c r="F21" s="3">
        <v>7601.85</v>
      </c>
      <c r="H21" s="0" t="inlineStr">
        <is>
          <t xml:space="preserve">Meridian Commerce Bank ····3202</t>
        </is>
      </c>
      <c r="I21" s="0" t="str">
        <f>HYPERLINK("apex-statement-2026-05.pdf#page=1","A-1 p.1 l.20")</f>
        <v>A-1 p.1 l.20</v>
      </c>
    </row>
    <row r="22">
      <c r="A22" s="2">
        <v>46153</v>
      </c>
      <c r="B22" s="0" t="inlineStr">
        <is>
          <t xml:space="preserve">ACH DEBIT ONDECK CAPITAL REMIT</t>
        </is>
      </c>
      <c r="C22" s="3">
        <v>-312.0</v>
      </c>
      <c r="D22" s="3">
        <v>312.0</v>
      </c>
      <c r="F22" s="3">
        <v>7289.85</v>
      </c>
      <c r="H22" s="0" t="inlineStr">
        <is>
          <t xml:space="preserve">Meridian Commerce Bank ····3202</t>
        </is>
      </c>
      <c r="I22" s="0" t="str">
        <f>HYPERLINK("apex-statement-2026-05.pdf#page=1","A-1 p.1 l.21")</f>
        <v>A-1 p.1 l.21</v>
      </c>
    </row>
    <row r="23">
      <c r="A23" s="2">
        <v>46154</v>
      </c>
      <c r="B23" s="0" t="inlineStr">
        <is>
          <t xml:space="preserve">COUNTER DEPOSIT</t>
        </is>
      </c>
      <c r="C23" s="3">
        <v>2739.75</v>
      </c>
      <c r="E23" s="3">
        <v>2739.75</v>
      </c>
      <c r="F23" s="3">
        <v>10029.6</v>
      </c>
      <c r="H23" s="0" t="inlineStr">
        <is>
          <t xml:space="preserve">Meridian Commerce Bank ····3202</t>
        </is>
      </c>
      <c r="I23" s="0" t="str">
        <f>HYPERLINK("apex-statement-2026-05.pdf#page=1","A-1 p.1 l.22")</f>
        <v>A-1 p.1 l.22</v>
      </c>
    </row>
    <row r="24">
      <c r="A24" s="2">
        <v>46154</v>
      </c>
      <c r="B24" s="0" t="inlineStr">
        <is>
          <t xml:space="preserve">ACH DEBIT ONDECK CAPITAL REMIT</t>
        </is>
      </c>
      <c r="C24" s="3">
        <v>-312.0</v>
      </c>
      <c r="D24" s="3">
        <v>312.0</v>
      </c>
      <c r="F24" s="3">
        <v>9717.6</v>
      </c>
      <c r="H24" s="0" t="inlineStr">
        <is>
          <t xml:space="preserve">Meridian Commerce Bank ····3202</t>
        </is>
      </c>
      <c r="I24" s="0" t="str">
        <f>HYPERLINK("apex-statement-2026-05.pdf#page=1","A-1 p.1 l.23")</f>
        <v>A-1 p.1 l.23</v>
      </c>
    </row>
    <row r="25">
      <c r="A25" s="2">
        <v>46155</v>
      </c>
      <c r="B25" s="0" t="inlineStr">
        <is>
          <t xml:space="preserve">NSF RETURN ITEM FEE</t>
        </is>
      </c>
      <c r="C25" s="3">
        <v>-35.0</v>
      </c>
      <c r="D25" s="3">
        <v>35.0</v>
      </c>
      <c r="F25" s="3">
        <v>9682.6</v>
      </c>
      <c r="H25" s="0" t="inlineStr">
        <is>
          <t xml:space="preserve">Meridian Commerce Bank ····3202</t>
        </is>
      </c>
      <c r="I25" s="0" t="str">
        <f>HYPERLINK("apex-statement-2026-05.pdf#page=1","A-1 p.1 l.24")</f>
        <v>A-1 p.1 l.24</v>
      </c>
    </row>
    <row r="26">
      <c r="A26" s="2">
        <v>46155</v>
      </c>
      <c r="B26" s="0" t="inlineStr">
        <is>
          <t xml:space="preserve">ACH DEBIT ONDECK CAPITAL REMIT</t>
        </is>
      </c>
      <c r="C26" s="3">
        <v>-312.0</v>
      </c>
      <c r="D26" s="3">
        <v>312.0</v>
      </c>
      <c r="F26" s="3">
        <v>9370.6</v>
      </c>
      <c r="H26" s="0" t="inlineStr">
        <is>
          <t xml:space="preserve">Meridian Commerce Bank ····3202</t>
        </is>
      </c>
      <c r="I26" s="0" t="str">
        <f>HYPERLINK("apex-statement-2026-05.pdf#page=1","A-1 p.1 l.25")</f>
        <v>A-1 p.1 l.25</v>
      </c>
    </row>
    <row r="27">
      <c r="A27" s="2">
        <v>46155</v>
      </c>
      <c r="B27" s="0" t="inlineStr">
        <is>
          <t xml:space="preserve">RETURNED ITEM - INSUFFICIENT FUNDS</t>
        </is>
      </c>
      <c r="C27" s="3">
        <v>-868.72</v>
      </c>
      <c r="D27" s="3">
        <v>868.72</v>
      </c>
      <c r="F27" s="3">
        <v>8501.88</v>
      </c>
      <c r="H27" s="0" t="inlineStr">
        <is>
          <t xml:space="preserve">Meridian Commerce Bank ····3202</t>
        </is>
      </c>
      <c r="I27" s="0" t="str">
        <f>HYPERLINK("apex-statement-2026-05.pdf#page=1","A-1 p.1 l.26")</f>
        <v>A-1 p.1 l.26</v>
      </c>
    </row>
    <row r="28">
      <c r="A28" s="2">
        <v>46155</v>
      </c>
      <c r="B28" s="0" t="inlineStr">
        <is>
          <t xml:space="preserve">POS PURCHASE SHELL OIL</t>
        </is>
      </c>
      <c r="C28" s="3">
        <v>-1124.11</v>
      </c>
      <c r="D28" s="3">
        <v>1124.11</v>
      </c>
      <c r="F28" s="3">
        <v>7377.77</v>
      </c>
      <c r="H28" s="0" t="inlineStr">
        <is>
          <t xml:space="preserve">Meridian Commerce Bank ····3202</t>
        </is>
      </c>
      <c r="I28" s="0" t="str">
        <f>HYPERLINK("apex-statement-2026-05.pdf#page=1","A-1 p.1 l.27")</f>
        <v>A-1 p.1 l.27</v>
      </c>
    </row>
    <row r="29">
      <c r="A29" s="2">
        <v>46155</v>
      </c>
      <c r="B29" s="0" t="inlineStr">
        <is>
          <t xml:space="preserve">ADP WAGE PAY 00185</t>
        </is>
      </c>
      <c r="C29" s="3">
        <v>-6240.75</v>
      </c>
      <c r="D29" s="3">
        <v>6240.75</v>
      </c>
      <c r="F29" s="3">
        <v>1137.02</v>
      </c>
      <c r="H29" s="0" t="inlineStr">
        <is>
          <t xml:space="preserve">Meridian Commerce Bank ····3202</t>
        </is>
      </c>
      <c r="I29" s="0" t="str">
        <f>HYPERLINK("apex-statement-2026-05.pdf#page=1","A-1 p.1 l.28")</f>
        <v>A-1 p.1 l.28</v>
      </c>
    </row>
    <row r="30">
      <c r="A30" s="2">
        <v>46156</v>
      </c>
      <c r="B30" s="0" t="inlineStr">
        <is>
          <t xml:space="preserve">ACH DEBIT ONDECK CAPITAL REMIT</t>
        </is>
      </c>
      <c r="C30" s="3">
        <v>-312.0</v>
      </c>
      <c r="D30" s="3">
        <v>312.0</v>
      </c>
      <c r="F30" s="3">
        <v>825.02</v>
      </c>
      <c r="H30" s="0" t="inlineStr">
        <is>
          <t xml:space="preserve">Meridian Commerce Bank ····3202</t>
        </is>
      </c>
      <c r="I30" s="0" t="str">
        <f>HYPERLINK("apex-statement-2026-05.pdf#page=1","A-1 p.1 l.29")</f>
        <v>A-1 p.1 l.29</v>
      </c>
    </row>
    <row r="31">
      <c r="A31" s="2">
        <v>46156</v>
      </c>
      <c r="B31" s="0" t="inlineStr">
        <is>
          <t xml:space="preserve">ACH DEBIT VADER MOUNTAIN CAP REMIT</t>
        </is>
      </c>
      <c r="C31" s="3">
        <v>-1850.0</v>
      </c>
      <c r="D31" s="3">
        <v>1850.0</v>
      </c>
      <c r="F31" s="3">
        <v>-1024.98</v>
      </c>
      <c r="H31" s="0" t="inlineStr">
        <is>
          <t xml:space="preserve">Meridian Commerce Bank ····3202</t>
        </is>
      </c>
      <c r="I31" s="0" t="str">
        <f>HYPERLINK("apex-statement-2026-05.pdf#page=1","A-1 p.1 l.30")</f>
        <v>A-1 p.1 l.30</v>
      </c>
    </row>
    <row r="32">
      <c r="A32" s="2">
        <v>46157</v>
      </c>
      <c r="B32" s="0" t="inlineStr">
        <is>
          <t xml:space="preserve">ONLINE TRANSFER FROM SAV ...7712</t>
        </is>
      </c>
      <c r="C32" s="3">
        <v>7797.23</v>
      </c>
      <c r="E32" s="3">
        <v>7797.23</v>
      </c>
      <c r="F32" s="3">
        <v>6772.25</v>
      </c>
      <c r="H32" s="0" t="inlineStr">
        <is>
          <t xml:space="preserve">Meridian Commerce Bank ····3202</t>
        </is>
      </c>
      <c r="I32" s="0" t="str">
        <f>HYPERLINK("apex-statement-2026-05.pdf#page=1","A-1 p.1 l.31")</f>
        <v>A-1 p.1 l.31</v>
      </c>
    </row>
    <row r="33">
      <c r="A33" s="2">
        <v>46157</v>
      </c>
      <c r="B33" s="0" t="inlineStr">
        <is>
          <t xml:space="preserve">ONLINE TRANSFER FROM SAV ...7712</t>
        </is>
      </c>
      <c r="C33" s="3">
        <v>7670.27</v>
      </c>
      <c r="E33" s="3">
        <v>7670.27</v>
      </c>
      <c r="F33" s="3">
        <v>14442.52</v>
      </c>
      <c r="H33" s="0" t="inlineStr">
        <is>
          <t xml:space="preserve">Meridian Commerce Bank ····3202</t>
        </is>
      </c>
      <c r="I33" s="0" t="str">
        <f>HYPERLINK("apex-statement-2026-05.pdf#page=1","A-1 p.1 l.32")</f>
        <v>A-1 p.1 l.32</v>
      </c>
    </row>
    <row r="34">
      <c r="A34" s="2">
        <v>46157</v>
      </c>
      <c r="B34" s="0" t="inlineStr">
        <is>
          <t xml:space="preserve">STRIPE TRANSFER</t>
        </is>
      </c>
      <c r="C34" s="3">
        <v>4143.66</v>
      </c>
      <c r="E34" s="3">
        <v>4143.66</v>
      </c>
      <c r="F34" s="3">
        <v>18586.18</v>
      </c>
      <c r="H34" s="0" t="inlineStr">
        <is>
          <t xml:space="preserve">Meridian Commerce Bank ····3202</t>
        </is>
      </c>
      <c r="I34" s="0" t="str">
        <f>HYPERLINK("apex-statement-2026-05.pdf#page=2","A-1 p.2 l.1")</f>
        <v>A-1 p.2 l.1</v>
      </c>
    </row>
    <row r="35">
      <c r="A35" s="2">
        <v>46157</v>
      </c>
      <c r="B35" s="0" t="inlineStr">
        <is>
          <t xml:space="preserve">NSF RETURN ITEM FEE</t>
        </is>
      </c>
      <c r="C35" s="3">
        <v>-35.0</v>
      </c>
      <c r="D35" s="3">
        <v>35.0</v>
      </c>
      <c r="F35" s="3">
        <v>18551.18</v>
      </c>
      <c r="H35" s="0" t="inlineStr">
        <is>
          <t xml:space="preserve">Meridian Commerce Bank ····3202</t>
        </is>
      </c>
      <c r="I35" s="0" t="str">
        <f>HYPERLINK("apex-statement-2026-05.pdf#page=2","A-1 p.2 l.2")</f>
        <v>A-1 p.2 l.2</v>
      </c>
    </row>
    <row r="36">
      <c r="A36" s="2">
        <v>46157</v>
      </c>
      <c r="B36" s="0" t="inlineStr">
        <is>
          <t xml:space="preserve">ACH DEBIT ONDECK CAPITAL REMIT</t>
        </is>
      </c>
      <c r="C36" s="3">
        <v>-312.0</v>
      </c>
      <c r="D36" s="3">
        <v>312.0</v>
      </c>
      <c r="F36" s="3">
        <v>18239.18</v>
      </c>
      <c r="H36" s="0" t="inlineStr">
        <is>
          <t xml:space="preserve">Meridian Commerce Bank ····3202</t>
        </is>
      </c>
      <c r="I36" s="0" t="str">
        <f>HYPERLINK("apex-statement-2026-05.pdf#page=2","A-1 p.2 l.3")</f>
        <v>A-1 p.2 l.3</v>
      </c>
    </row>
    <row r="37">
      <c r="A37" s="2">
        <v>46157</v>
      </c>
      <c r="B37" s="0" t="inlineStr">
        <is>
          <t xml:space="preserve">RETURNED ITEM - INSUFFICIENT FUNDS</t>
        </is>
      </c>
      <c r="C37" s="3">
        <v>-312.04</v>
      </c>
      <c r="D37" s="3">
        <v>312.04</v>
      </c>
      <c r="F37" s="3">
        <v>17927.14</v>
      </c>
      <c r="H37" s="0" t="inlineStr">
        <is>
          <t xml:space="preserve">Meridian Commerce Bank ····3202</t>
        </is>
      </c>
      <c r="I37" s="0" t="str">
        <f>HYPERLINK("apex-statement-2026-05.pdf#page=2","A-1 p.2 l.4")</f>
        <v>A-1 p.2 l.4</v>
      </c>
    </row>
    <row r="38">
      <c r="A38" s="2">
        <v>46160</v>
      </c>
      <c r="B38" s="0" t="inlineStr">
        <is>
          <t xml:space="preserve">ACH DEBIT ONDECK CAPITAL REMIT</t>
        </is>
      </c>
      <c r="C38" s="3">
        <v>-312.0</v>
      </c>
      <c r="D38" s="3">
        <v>312.0</v>
      </c>
      <c r="F38" s="3">
        <v>17615.14</v>
      </c>
      <c r="H38" s="0" t="inlineStr">
        <is>
          <t xml:space="preserve">Meridian Commerce Bank ····3202</t>
        </is>
      </c>
      <c r="I38" s="0" t="str">
        <f>HYPERLINK("apex-statement-2026-05.pdf#page=2","A-1 p.2 l.5")</f>
        <v>A-1 p.2 l.5</v>
      </c>
    </row>
    <row r="39">
      <c r="A39" s="2">
        <v>46161</v>
      </c>
      <c r="B39" s="0" t="inlineStr">
        <is>
          <t xml:space="preserve">ACH DEBIT ONDECK CAPITAL REMIT</t>
        </is>
      </c>
      <c r="C39" s="3">
        <v>-312.0</v>
      </c>
      <c r="D39" s="3">
        <v>312.0</v>
      </c>
      <c r="F39" s="3">
        <v>17303.14</v>
      </c>
      <c r="H39" s="0" t="inlineStr">
        <is>
          <t xml:space="preserve">Meridian Commerce Bank ····3202</t>
        </is>
      </c>
      <c r="I39" s="0" t="str">
        <f>HYPERLINK("apex-statement-2026-05.pdf#page=2","A-1 p.2 l.6")</f>
        <v>A-1 p.2 l.6</v>
      </c>
    </row>
    <row r="40">
      <c r="A40" s="2">
        <v>46162</v>
      </c>
      <c r="B40" s="0" t="inlineStr">
        <is>
          <t xml:space="preserve">ACH DEBIT ONDECK CAPITAL REMIT</t>
        </is>
      </c>
      <c r="C40" s="3">
        <v>-312.0</v>
      </c>
      <c r="D40" s="3">
        <v>312.0</v>
      </c>
      <c r="F40" s="3">
        <v>16991.14</v>
      </c>
      <c r="H40" s="0" t="inlineStr">
        <is>
          <t xml:space="preserve">Meridian Commerce Bank ····3202</t>
        </is>
      </c>
      <c r="I40" s="0" t="str">
        <f>HYPERLINK("apex-statement-2026-05.pdf#page=2","A-1 p.2 l.7")</f>
        <v>A-1 p.2 l.7</v>
      </c>
    </row>
    <row r="41">
      <c r="A41" s="2">
        <v>46163</v>
      </c>
      <c r="B41" s="0" t="inlineStr">
        <is>
          <t xml:space="preserve">STRIPE TRANSFER</t>
        </is>
      </c>
      <c r="C41" s="3">
        <v>2521.35</v>
      </c>
      <c r="E41" s="3">
        <v>2521.35</v>
      </c>
      <c r="F41" s="3">
        <v>19512.49</v>
      </c>
      <c r="H41" s="0" t="inlineStr">
        <is>
          <t xml:space="preserve">Meridian Commerce Bank ····3202</t>
        </is>
      </c>
      <c r="I41" s="0" t="str">
        <f>HYPERLINK("apex-statement-2026-05.pdf#page=2","A-1 p.2 l.8")</f>
        <v>A-1 p.2 l.8</v>
      </c>
    </row>
    <row r="42">
      <c r="A42" s="2">
        <v>46163</v>
      </c>
      <c r="B42" s="0" t="inlineStr">
        <is>
          <t xml:space="preserve">ACH DEBIT ONDECK CAPITAL REMIT</t>
        </is>
      </c>
      <c r="C42" s="3">
        <v>-312.0</v>
      </c>
      <c r="D42" s="3">
        <v>312.0</v>
      </c>
      <c r="F42" s="3">
        <v>19200.49</v>
      </c>
      <c r="H42" s="0" t="inlineStr">
        <is>
          <t xml:space="preserve">Meridian Commerce Bank ····3202</t>
        </is>
      </c>
      <c r="I42" s="0" t="str">
        <f>HYPERLINK("apex-statement-2026-05.pdf#page=2","A-1 p.2 l.9")</f>
        <v>A-1 p.2 l.9</v>
      </c>
    </row>
    <row r="43">
      <c r="A43" s="2">
        <v>46163</v>
      </c>
      <c r="B43" s="0" t="inlineStr">
        <is>
          <t xml:space="preserve">POS PURCHASE VERIZON WIRELESS</t>
        </is>
      </c>
      <c r="C43" s="3">
        <v>-1792.85</v>
      </c>
      <c r="D43" s="3">
        <v>1792.85</v>
      </c>
      <c r="F43" s="3">
        <v>17407.64</v>
      </c>
      <c r="H43" s="0" t="inlineStr">
        <is>
          <t xml:space="preserve">Meridian Commerce Bank ····3202</t>
        </is>
      </c>
      <c r="I43" s="0" t="str">
        <f>HYPERLINK("apex-statement-2026-05.pdf#page=2","A-1 p.2 l.10")</f>
        <v>A-1 p.2 l.10</v>
      </c>
    </row>
    <row r="44">
      <c r="A44" s="2">
        <v>46163</v>
      </c>
      <c r="B44" s="0" t="inlineStr">
        <is>
          <t xml:space="preserve">ACH DEBIT VADER MOUNTAIN CAP REMIT</t>
        </is>
      </c>
      <c r="C44" s="3">
        <v>-1850.0</v>
      </c>
      <c r="D44" s="3">
        <v>1850.0</v>
      </c>
      <c r="F44" s="3">
        <v>15557.64</v>
      </c>
      <c r="H44" s="0" t="inlineStr">
        <is>
          <t xml:space="preserve">Meridian Commerce Bank ····3202</t>
        </is>
      </c>
      <c r="I44" s="0" t="str">
        <f>HYPERLINK("apex-statement-2026-05.pdf#page=2","A-1 p.2 l.11")</f>
        <v>A-1 p.2 l.11</v>
      </c>
    </row>
    <row r="45">
      <c r="A45" s="2">
        <v>46164</v>
      </c>
      <c r="B45" s="0" t="inlineStr">
        <is>
          <t xml:space="preserve">REMOTE DEPOSIT CAPTURE</t>
        </is>
      </c>
      <c r="C45" s="3">
        <v>4572.03</v>
      </c>
      <c r="E45" s="3">
        <v>4572.03</v>
      </c>
      <c r="F45" s="3">
        <v>20129.67</v>
      </c>
      <c r="H45" s="0" t="inlineStr">
        <is>
          <t xml:space="preserve">Meridian Commerce Bank ····3202</t>
        </is>
      </c>
      <c r="I45" s="0" t="str">
        <f>HYPERLINK("apex-statement-2026-05.pdf#page=2","A-1 p.2 l.12")</f>
        <v>A-1 p.2 l.12</v>
      </c>
    </row>
    <row r="46">
      <c r="A46" s="2">
        <v>46164</v>
      </c>
      <c r="B46" s="0" t="inlineStr">
        <is>
          <t xml:space="preserve">ACH DEBIT ONDECK CAPITAL REMIT</t>
        </is>
      </c>
      <c r="C46" s="3">
        <v>-312.0</v>
      </c>
      <c r="D46" s="3">
        <v>312.0</v>
      </c>
      <c r="F46" s="3">
        <v>19817.67</v>
      </c>
      <c r="H46" s="0" t="inlineStr">
        <is>
          <t xml:space="preserve">Meridian Commerce Bank ····3202</t>
        </is>
      </c>
      <c r="I46" s="0" t="str">
        <f>HYPERLINK("apex-statement-2026-05.pdf#page=2","A-1 p.2 l.13")</f>
        <v>A-1 p.2 l.13</v>
      </c>
    </row>
    <row r="47">
      <c r="A47" s="2">
        <v>46167</v>
      </c>
      <c r="B47" s="0" t="inlineStr">
        <is>
          <t xml:space="preserve">POS PURCHASE VERIZON WIRELESS</t>
        </is>
      </c>
      <c r="C47" s="3">
        <v>-1788.07</v>
      </c>
      <c r="D47" s="3">
        <v>1788.07</v>
      </c>
      <c r="F47" s="3">
        <v>18029.6</v>
      </c>
      <c r="H47" s="0" t="inlineStr">
        <is>
          <t xml:space="preserve">Meridian Commerce Bank ····3202</t>
        </is>
      </c>
      <c r="I47" s="0" t="str">
        <f>HYPERLINK("apex-statement-2026-05.pdf#page=2","A-1 p.2 l.14")</f>
        <v>A-1 p.2 l.14</v>
      </c>
    </row>
    <row r="48">
      <c r="A48" s="2">
        <v>46168</v>
      </c>
      <c r="B48" s="0" t="inlineStr">
        <is>
          <t xml:space="preserve">ACH DEBIT ONDECK CAPITAL REMIT</t>
        </is>
      </c>
      <c r="C48" s="3">
        <v>-312.0</v>
      </c>
      <c r="D48" s="3">
        <v>312.0</v>
      </c>
      <c r="F48" s="3">
        <v>17717.6</v>
      </c>
      <c r="H48" s="0" t="inlineStr">
        <is>
          <t xml:space="preserve">Meridian Commerce Bank ····3202</t>
        </is>
      </c>
      <c r="I48" s="0" t="str">
        <f>HYPERLINK("apex-statement-2026-05.pdf#page=2","A-1 p.2 l.15")</f>
        <v>A-1 p.2 l.15</v>
      </c>
    </row>
    <row r="49">
      <c r="A49" s="2">
        <v>46168</v>
      </c>
      <c r="B49" s="0" t="inlineStr">
        <is>
          <t xml:space="preserve">POS PURCHASE NAPA AUTO PARTS</t>
        </is>
      </c>
      <c r="C49" s="3">
        <v>-1272.83</v>
      </c>
      <c r="D49" s="3">
        <v>1272.83</v>
      </c>
      <c r="F49" s="3">
        <v>16444.77</v>
      </c>
      <c r="H49" s="0" t="inlineStr">
        <is>
          <t xml:space="preserve">Meridian Commerce Bank ····3202</t>
        </is>
      </c>
      <c r="I49" s="0" t="str">
        <f>HYPERLINK("apex-statement-2026-05.pdf#page=2","A-1 p.2 l.16")</f>
        <v>A-1 p.2 l.16</v>
      </c>
    </row>
    <row r="50">
      <c r="A50" s="2">
        <v>46169</v>
      </c>
      <c r="B50" s="0" t="inlineStr">
        <is>
          <t xml:space="preserve">ZELLE CREDIT</t>
        </is>
      </c>
      <c r="C50" s="3">
        <v>4767.3</v>
      </c>
      <c r="E50" s="3">
        <v>4767.3</v>
      </c>
      <c r="F50" s="3">
        <v>21212.07</v>
      </c>
      <c r="H50" s="0" t="inlineStr">
        <is>
          <t xml:space="preserve">Meridian Commerce Bank ····3202</t>
        </is>
      </c>
      <c r="I50" s="0" t="str">
        <f>HYPERLINK("apex-statement-2026-05.pdf#page=2","A-1 p.2 l.17")</f>
        <v>A-1 p.2 l.17</v>
      </c>
    </row>
    <row r="51">
      <c r="A51" s="2">
        <v>46169</v>
      </c>
      <c r="B51" s="0" t="inlineStr">
        <is>
          <t xml:space="preserve">ACH DEBIT ONDECK CAPITAL REMIT</t>
        </is>
      </c>
      <c r="C51" s="3">
        <v>-312.0</v>
      </c>
      <c r="D51" s="3">
        <v>312.0</v>
      </c>
      <c r="F51" s="3">
        <v>20900.07</v>
      </c>
      <c r="H51" s="0" t="inlineStr">
        <is>
          <t xml:space="preserve">Meridian Commerce Bank ····3202</t>
        </is>
      </c>
      <c r="I51" s="0" t="str">
        <f>HYPERLINK("apex-statement-2026-05.pdf#page=2","A-1 p.2 l.18")</f>
        <v>A-1 p.2 l.18</v>
      </c>
    </row>
    <row r="52">
      <c r="A52" s="2">
        <v>46169</v>
      </c>
      <c r="B52" s="0" t="inlineStr">
        <is>
          <t xml:space="preserve">ADP WAGE PAY 00186</t>
        </is>
      </c>
      <c r="C52" s="3">
        <v>-6240.75</v>
      </c>
      <c r="D52" s="3">
        <v>6240.75</v>
      </c>
      <c r="F52" s="3">
        <v>14659.32</v>
      </c>
      <c r="H52" s="0" t="inlineStr">
        <is>
          <t xml:space="preserve">Meridian Commerce Bank ····3202</t>
        </is>
      </c>
      <c r="I52" s="0" t="str">
        <f>HYPERLINK("apex-statement-2026-05.pdf#page=2","A-1 p.2 l.19")</f>
        <v>A-1 p.2 l.19</v>
      </c>
    </row>
    <row r="53">
      <c r="A53" s="2">
        <v>46170</v>
      </c>
      <c r="B53" s="0" t="inlineStr">
        <is>
          <t xml:space="preserve">ZELLE CREDIT</t>
        </is>
      </c>
      <c r="C53" s="3">
        <v>2213.71</v>
      </c>
      <c r="E53" s="3">
        <v>2213.71</v>
      </c>
      <c r="F53" s="3">
        <v>16873.03</v>
      </c>
      <c r="H53" s="0" t="inlineStr">
        <is>
          <t xml:space="preserve">Meridian Commerce Bank ····3202</t>
        </is>
      </c>
      <c r="I53" s="0" t="str">
        <f>HYPERLINK("apex-statement-2026-05.pdf#page=2","A-1 p.2 l.20")</f>
        <v>A-1 p.2 l.20</v>
      </c>
    </row>
    <row r="54">
      <c r="A54" s="2">
        <v>46170</v>
      </c>
      <c r="B54" s="0" t="inlineStr">
        <is>
          <t xml:space="preserve">ACH DEBIT ONDECK CAPITAL REMIT</t>
        </is>
      </c>
      <c r="C54" s="3">
        <v>-312.0</v>
      </c>
      <c r="D54" s="3">
        <v>312.0</v>
      </c>
      <c r="F54" s="3">
        <v>16561.03</v>
      </c>
      <c r="H54" s="0" t="inlineStr">
        <is>
          <t xml:space="preserve">Meridian Commerce Bank ····3202</t>
        </is>
      </c>
      <c r="I54" s="0" t="str">
        <f>HYPERLINK("apex-statement-2026-05.pdf#page=2","A-1 p.2 l.21")</f>
        <v>A-1 p.2 l.21</v>
      </c>
    </row>
    <row r="55">
      <c r="A55" s="2">
        <v>46170</v>
      </c>
      <c r="B55" s="0" t="inlineStr">
        <is>
          <t xml:space="preserve">ACH DEBIT VADER MOUNTAIN CAP REMIT</t>
        </is>
      </c>
      <c r="C55" s="3">
        <v>-1850.0</v>
      </c>
      <c r="D55" s="3">
        <v>1850.0</v>
      </c>
      <c r="F55" s="3">
        <v>14711.03</v>
      </c>
      <c r="H55" s="0" t="inlineStr">
        <is>
          <t xml:space="preserve">Meridian Commerce Bank ····3202</t>
        </is>
      </c>
      <c r="I55" s="0" t="str">
        <f>HYPERLINK("apex-statement-2026-05.pdf#page=2","A-1 p.2 l.22")</f>
        <v>A-1 p.2 l.22</v>
      </c>
    </row>
    <row r="56">
      <c r="A56" s="2">
        <v>46171</v>
      </c>
      <c r="B56" s="0" t="inlineStr">
        <is>
          <t xml:space="preserve">COUNTER DEPOSIT</t>
        </is>
      </c>
      <c r="C56" s="3">
        <v>2860.67</v>
      </c>
      <c r="E56" s="3">
        <v>2860.67</v>
      </c>
      <c r="F56" s="3">
        <v>17571.7</v>
      </c>
      <c r="H56" s="0" t="inlineStr">
        <is>
          <t xml:space="preserve">Meridian Commerce Bank ····3202</t>
        </is>
      </c>
      <c r="I56" s="0" t="str">
        <f>HYPERLINK("apex-statement-2026-05.pdf#page=2","A-1 p.2 l.23")</f>
        <v>A-1 p.2 l.23</v>
      </c>
    </row>
    <row r="57">
      <c r="A57" s="2">
        <v>46171</v>
      </c>
      <c r="B57" s="0" t="inlineStr">
        <is>
          <t xml:space="preserve">ACH DEBIT ONDECK CAPITAL REMIT</t>
        </is>
      </c>
      <c r="C57" s="3">
        <v>-312.0</v>
      </c>
      <c r="D57" s="3">
        <v>312.0</v>
      </c>
      <c r="F57" s="3">
        <v>17259.7</v>
      </c>
      <c r="H57" s="0" t="inlineStr">
        <is>
          <t xml:space="preserve">Meridian Commerce Bank ····3202</t>
        </is>
      </c>
      <c r="I57" s="0" t="str">
        <f>HYPERLINK("apex-statement-2026-05.pdf#page=2","A-1 p.2 l.24")</f>
        <v>A-1 p.2 l.24</v>
      </c>
    </row>
    <row r="58">
      <c r="A58" s="2">
        <v>46171</v>
      </c>
      <c r="B58" s="0" t="inlineStr">
        <is>
          <t xml:space="preserve">POS PURCHASE NAPA AUTO PARTS</t>
        </is>
      </c>
      <c r="C58" s="3">
        <v>-1459.8</v>
      </c>
      <c r="D58" s="3">
        <v>1459.8</v>
      </c>
      <c r="F58" s="3">
        <v>15799.9</v>
      </c>
      <c r="H58" s="0" t="inlineStr">
        <is>
          <t xml:space="preserve">Meridian Commerce Bank ····3202</t>
        </is>
      </c>
      <c r="I58" s="0" t="str">
        <f>HYPERLINK("apex-statement-2026-05.pdf#page=2","A-1 p.2 l.25")</f>
        <v>A-1 p.2 l.25</v>
      </c>
    </row>
    <row r="59">
      <c r="A59" s="2">
        <v>46172</v>
      </c>
      <c r="B59" s="0" t="inlineStr">
        <is>
          <t xml:space="preserve">POS PURCHASE VERIZON WIRELESS</t>
        </is>
      </c>
      <c r="C59" s="3">
        <v>-2305.24</v>
      </c>
      <c r="D59" s="3">
        <v>2305.24</v>
      </c>
      <c r="F59" s="3">
        <v>13494.66</v>
      </c>
      <c r="H59" s="0" t="inlineStr">
        <is>
          <t xml:space="preserve">Meridian Commerce Bank ····3202</t>
        </is>
      </c>
      <c r="I59" s="0" t="str">
        <f>HYPERLINK("apex-statement-2026-05.pdf#page=2","A-1 p.2 l.26")</f>
        <v>A-1 p.2 l.26</v>
      </c>
    </row>
    <row r="60">
      <c r="A60" s="2">
        <v>46174</v>
      </c>
      <c r="B60" s="0" t="inlineStr">
        <is>
          <t xml:space="preserve">ACH DEBIT ONDECK CAPITAL REMIT</t>
        </is>
      </c>
      <c r="C60" s="3">
        <v>-312.0</v>
      </c>
      <c r="D60" s="3">
        <v>312.0</v>
      </c>
      <c r="F60" s="3">
        <v>18182.66</v>
      </c>
      <c r="H60" s="0" t="inlineStr">
        <is>
          <t xml:space="preserve">Meridian Commerce Bank ····3202</t>
        </is>
      </c>
      <c r="I60" s="0" t="str">
        <f>HYPERLINK("apex-statement-2026-06.pdf#page=1","A-2 p.1 l.1")</f>
        <v>A-2 p.1 l.1</v>
      </c>
    </row>
    <row r="61">
      <c r="A61" s="2">
        <v>46174</v>
      </c>
      <c r="B61" s="0" t="inlineStr">
        <is>
          <t xml:space="preserve">ACH DEBIT KESTREL INDUSTRIAL PARK</t>
        </is>
      </c>
      <c r="C61" s="3">
        <v>-3875.0</v>
      </c>
      <c r="D61" s="3">
        <v>3875.0</v>
      </c>
      <c r="F61" s="3">
        <v>14307.66</v>
      </c>
      <c r="H61" s="0" t="inlineStr">
        <is>
          <t xml:space="preserve">Meridian Commerce Bank ····3202</t>
        </is>
      </c>
      <c r="I61" s="0" t="str">
        <f>HYPERLINK("apex-statement-2026-06.pdf#page=1","A-2 p.1 l.2")</f>
        <v>A-2 p.1 l.2</v>
      </c>
    </row>
    <row r="62">
      <c r="A62" s="2">
        <v>46175</v>
      </c>
      <c r="B62" s="0" t="inlineStr">
        <is>
          <t xml:space="preserve">STRIPE TRANSFER</t>
        </is>
      </c>
      <c r="C62" s="3">
        <v>2342.61</v>
      </c>
      <c r="E62" s="3">
        <v>2342.61</v>
      </c>
      <c r="F62" s="3">
        <v>16650.27</v>
      </c>
      <c r="H62" s="0" t="inlineStr">
        <is>
          <t xml:space="preserve">Meridian Commerce Bank ····3202</t>
        </is>
      </c>
      <c r="I62" s="0" t="str">
        <f>HYPERLINK("apex-statement-2026-06.pdf#page=1","A-2 p.1 l.3")</f>
        <v>A-2 p.1 l.3</v>
      </c>
    </row>
    <row r="63">
      <c r="A63" s="2">
        <v>46175</v>
      </c>
      <c r="B63" s="0" t="inlineStr">
        <is>
          <t xml:space="preserve">ACH DEBIT ONDECK CAPITAL REMIT</t>
        </is>
      </c>
      <c r="C63" s="3">
        <v>-312.0</v>
      </c>
      <c r="D63" s="3">
        <v>312.0</v>
      </c>
      <c r="F63" s="3">
        <v>16338.27</v>
      </c>
      <c r="H63" s="0" t="inlineStr">
        <is>
          <t xml:space="preserve">Meridian Commerce Bank ····3202</t>
        </is>
      </c>
      <c r="I63" s="0" t="str">
        <f>HYPERLINK("apex-statement-2026-06.pdf#page=1","A-2 p.1 l.4")</f>
        <v>A-2 p.1 l.4</v>
      </c>
    </row>
    <row r="64">
      <c r="A64" s="2">
        <v>46176</v>
      </c>
      <c r="B64" s="0" t="inlineStr">
        <is>
          <t xml:space="preserve">ACH DEBIT ONDECK CAPITAL REMIT</t>
        </is>
      </c>
      <c r="C64" s="3">
        <v>-312.0</v>
      </c>
      <c r="D64" s="3">
        <v>312.0</v>
      </c>
      <c r="F64" s="3">
        <v>16026.27</v>
      </c>
      <c r="H64" s="0" t="inlineStr">
        <is>
          <t xml:space="preserve">Meridian Commerce Bank ····3202</t>
        </is>
      </c>
      <c r="I64" s="0" t="str">
        <f>HYPERLINK("apex-statement-2026-06.pdf#page=1","A-2 p.1 l.5")</f>
        <v>A-2 p.1 l.5</v>
      </c>
    </row>
    <row r="65">
      <c r="A65" s="2">
        <v>46177</v>
      </c>
      <c r="B65" s="0" t="inlineStr">
        <is>
          <t xml:space="preserve">COUNTER DEPOSIT</t>
        </is>
      </c>
      <c r="C65" s="3">
        <v>4087.1</v>
      </c>
      <c r="E65" s="3">
        <v>4087.1</v>
      </c>
      <c r="F65" s="3">
        <v>20113.37</v>
      </c>
      <c r="H65" s="0" t="inlineStr">
        <is>
          <t xml:space="preserve">Meridian Commerce Bank ····3202</t>
        </is>
      </c>
      <c r="I65" s="0" t="str">
        <f>HYPERLINK("apex-statement-2026-06.pdf#page=1","A-2 p.1 l.6")</f>
        <v>A-2 p.1 l.6</v>
      </c>
    </row>
    <row r="66">
      <c r="A66" s="2">
        <v>46177</v>
      </c>
      <c r="B66" s="0" t="inlineStr">
        <is>
          <t xml:space="preserve">POS PURCHASE STATE FARM INS</t>
        </is>
      </c>
      <c r="C66" s="3">
        <v>-270.28</v>
      </c>
      <c r="D66" s="3">
        <v>270.28</v>
      </c>
      <c r="F66" s="3">
        <v>19843.09</v>
      </c>
      <c r="H66" s="0" t="inlineStr">
        <is>
          <t xml:space="preserve">Meridian Commerce Bank ····3202</t>
        </is>
      </c>
      <c r="I66" s="0" t="str">
        <f>HYPERLINK("apex-statement-2026-06.pdf#page=1","A-2 p.1 l.7")</f>
        <v>A-2 p.1 l.7</v>
      </c>
    </row>
    <row r="67">
      <c r="A67" s="2">
        <v>46177</v>
      </c>
      <c r="B67" s="0" t="inlineStr">
        <is>
          <t xml:space="preserve">ACH DEBIT ONDECK CAPITAL REMIT</t>
        </is>
      </c>
      <c r="C67" s="3">
        <v>-312.0</v>
      </c>
      <c r="D67" s="3">
        <v>312.0</v>
      </c>
      <c r="F67" s="3">
        <v>19531.09</v>
      </c>
      <c r="H67" s="0" t="inlineStr">
        <is>
          <t xml:space="preserve">Meridian Commerce Bank ····3202</t>
        </is>
      </c>
      <c r="I67" s="0" t="str">
        <f>HYPERLINK("apex-statement-2026-06.pdf#page=1","A-2 p.1 l.8")</f>
        <v>A-2 p.1 l.8</v>
      </c>
    </row>
    <row r="68">
      <c r="A68" s="2">
        <v>46177</v>
      </c>
      <c r="B68" s="0" t="inlineStr">
        <is>
          <t xml:space="preserve">POS PURCHASE STATE FARM INS</t>
        </is>
      </c>
      <c r="C68" s="3">
        <v>-812.55</v>
      </c>
      <c r="D68" s="3">
        <v>812.55</v>
      </c>
      <c r="F68" s="3">
        <v>18718.54</v>
      </c>
      <c r="H68" s="0" t="inlineStr">
        <is>
          <t xml:space="preserve">Meridian Commerce Bank ····3202</t>
        </is>
      </c>
      <c r="I68" s="0" t="str">
        <f>HYPERLINK("apex-statement-2026-06.pdf#page=1","A-2 p.1 l.9")</f>
        <v>A-2 p.1 l.9</v>
      </c>
    </row>
    <row r="69">
      <c r="A69" s="2">
        <v>46177</v>
      </c>
      <c r="B69" s="0" t="inlineStr">
        <is>
          <t xml:space="preserve">ACH DEBIT VADER MOUNTAIN CAP REMIT</t>
        </is>
      </c>
      <c r="C69" s="3">
        <v>-1850.0</v>
      </c>
      <c r="D69" s="3">
        <v>1850.0</v>
      </c>
      <c r="F69" s="3">
        <v>16868.54</v>
      </c>
      <c r="H69" s="0" t="inlineStr">
        <is>
          <t xml:space="preserve">Meridian Commerce Bank ····3202</t>
        </is>
      </c>
      <c r="I69" s="0" t="str">
        <f>HYPERLINK("apex-statement-2026-06.pdf#page=1","A-2 p.1 l.10")</f>
        <v>A-2 p.1 l.10</v>
      </c>
    </row>
    <row r="70">
      <c r="A70" s="2">
        <v>46178</v>
      </c>
      <c r="B70" s="0" t="inlineStr">
        <is>
          <t xml:space="preserve">ZELLE CREDIT</t>
        </is>
      </c>
      <c r="C70" s="3">
        <v>3270.49</v>
      </c>
      <c r="E70" s="3">
        <v>3270.49</v>
      </c>
      <c r="F70" s="3">
        <v>20139.03</v>
      </c>
      <c r="H70" s="0" t="inlineStr">
        <is>
          <t xml:space="preserve">Meridian Commerce Bank ····3202</t>
        </is>
      </c>
      <c r="I70" s="0" t="str">
        <f>HYPERLINK("apex-statement-2026-06.pdf#page=1","A-2 p.1 l.11")</f>
        <v>A-2 p.1 l.11</v>
      </c>
    </row>
    <row r="71">
      <c r="A71" s="2">
        <v>46178</v>
      </c>
      <c r="B71" s="0" t="inlineStr">
        <is>
          <t xml:space="preserve">ACH DEBIT ONDECK CAPITAL REMIT</t>
        </is>
      </c>
      <c r="C71" s="3">
        <v>-312.0</v>
      </c>
      <c r="D71" s="3">
        <v>312.0</v>
      </c>
      <c r="F71" s="3">
        <v>19827.03</v>
      </c>
      <c r="H71" s="0" t="inlineStr">
        <is>
          <t xml:space="preserve">Meridian Commerce Bank ····3202</t>
        </is>
      </c>
      <c r="I71" s="0" t="str">
        <f>HYPERLINK("apex-statement-2026-06.pdf#page=1","A-2 p.1 l.12")</f>
        <v>A-2 p.1 l.12</v>
      </c>
    </row>
    <row r="72">
      <c r="A72" s="2">
        <v>46181</v>
      </c>
      <c r="B72" s="0" t="inlineStr">
        <is>
          <t xml:space="preserve">ACH DEBIT ONDECK CAPITAL REMIT</t>
        </is>
      </c>
      <c r="C72" s="3">
        <v>-312.0</v>
      </c>
      <c r="D72" s="3">
        <v>312.0</v>
      </c>
      <c r="F72" s="3">
        <v>19515.03</v>
      </c>
      <c r="H72" s="0" t="inlineStr">
        <is>
          <t xml:space="preserve">Meridian Commerce Bank ····3202</t>
        </is>
      </c>
      <c r="I72" s="0" t="str">
        <f>HYPERLINK("apex-statement-2026-06.pdf#page=1","A-2 p.1 l.13")</f>
        <v>A-2 p.1 l.13</v>
      </c>
    </row>
    <row r="73">
      <c r="A73" s="2">
        <v>46182</v>
      </c>
      <c r="B73" s="0" t="inlineStr">
        <is>
          <t xml:space="preserve">COUNTER DEPOSIT</t>
        </is>
      </c>
      <c r="C73" s="3">
        <v>2682.34</v>
      </c>
      <c r="E73" s="3">
        <v>2682.34</v>
      </c>
      <c r="F73" s="3">
        <v>22197.37</v>
      </c>
      <c r="H73" s="0" t="inlineStr">
        <is>
          <t xml:space="preserve">Meridian Commerce Bank ····3202</t>
        </is>
      </c>
      <c r="I73" s="0" t="str">
        <f>HYPERLINK("apex-statement-2026-06.pdf#page=1","A-2 p.1 l.14")</f>
        <v>A-2 p.1 l.14</v>
      </c>
    </row>
    <row r="74">
      <c r="A74" s="2">
        <v>46182</v>
      </c>
      <c r="B74" s="0" t="inlineStr">
        <is>
          <t xml:space="preserve">ACH DEBIT ONDECK CAPITAL REMIT</t>
        </is>
      </c>
      <c r="C74" s="3">
        <v>-312.0</v>
      </c>
      <c r="D74" s="3">
        <v>312.0</v>
      </c>
      <c r="F74" s="3">
        <v>21885.37</v>
      </c>
      <c r="H74" s="0" t="inlineStr">
        <is>
          <t xml:space="preserve">Meridian Commerce Bank ····3202</t>
        </is>
      </c>
      <c r="I74" s="0" t="str">
        <f>HYPERLINK("apex-statement-2026-06.pdf#page=1","A-2 p.1 l.15")</f>
        <v>A-2 p.1 l.15</v>
      </c>
    </row>
    <row r="75">
      <c r="A75" s="2">
        <v>46183</v>
      </c>
      <c r="B75" s="0" t="inlineStr">
        <is>
          <t xml:space="preserve">REMOTE DEPOSIT CAPTURE</t>
        </is>
      </c>
      <c r="C75" s="3">
        <v>1978.13</v>
      </c>
      <c r="E75" s="3">
        <v>1978.13</v>
      </c>
      <c r="F75" s="3">
        <v>23863.5</v>
      </c>
      <c r="H75" s="0" t="inlineStr">
        <is>
          <t xml:space="preserve">Meridian Commerce Bank ····3202</t>
        </is>
      </c>
      <c r="I75" s="0" t="str">
        <f>HYPERLINK("apex-statement-2026-06.pdf#page=1","A-2 p.1 l.16")</f>
        <v>A-2 p.1 l.16</v>
      </c>
    </row>
    <row r="76">
      <c r="A76" s="2">
        <v>46183</v>
      </c>
      <c r="B76" s="0" t="inlineStr">
        <is>
          <t xml:space="preserve">ACH DEBIT ONDECK CAPITAL REMIT</t>
        </is>
      </c>
      <c r="C76" s="3">
        <v>-312.0</v>
      </c>
      <c r="D76" s="3">
        <v>312.0</v>
      </c>
      <c r="F76" s="3">
        <v>23551.5</v>
      </c>
      <c r="H76" s="0" t="inlineStr">
        <is>
          <t xml:space="preserve">Meridian Commerce Bank ····3202</t>
        </is>
      </c>
      <c r="I76" s="0" t="str">
        <f>HYPERLINK("apex-statement-2026-06.pdf#page=1","A-2 p.1 l.17")</f>
        <v>A-2 p.1 l.17</v>
      </c>
    </row>
    <row r="77">
      <c r="A77" s="2">
        <v>46183</v>
      </c>
      <c r="B77" s="0" t="inlineStr">
        <is>
          <t xml:space="preserve">POS PURCHASE NAPA AUTO PARTS</t>
        </is>
      </c>
      <c r="C77" s="3">
        <v>-2141.64</v>
      </c>
      <c r="D77" s="3">
        <v>2141.64</v>
      </c>
      <c r="F77" s="3">
        <v>21409.86</v>
      </c>
      <c r="H77" s="0" t="inlineStr">
        <is>
          <t xml:space="preserve">Meridian Commerce Bank ····3202</t>
        </is>
      </c>
      <c r="I77" s="0" t="str">
        <f>HYPERLINK("apex-statement-2026-06.pdf#page=1","A-2 p.1 l.18")</f>
        <v>A-2 p.1 l.18</v>
      </c>
    </row>
    <row r="78">
      <c r="A78" s="2">
        <v>46183</v>
      </c>
      <c r="B78" s="0" t="inlineStr">
        <is>
          <t xml:space="preserve">ADP WAGE PAY 00190</t>
        </is>
      </c>
      <c r="C78" s="3">
        <v>-6240.75</v>
      </c>
      <c r="D78" s="3">
        <v>6240.75</v>
      </c>
      <c r="F78" s="3">
        <v>15169.11</v>
      </c>
      <c r="H78" s="0" t="inlineStr">
        <is>
          <t xml:space="preserve">Meridian Commerce Bank ····3202</t>
        </is>
      </c>
      <c r="I78" s="0" t="str">
        <f>HYPERLINK("apex-statement-2026-06.pdf#page=1","A-2 p.1 l.19")</f>
        <v>A-2 p.1 l.19</v>
      </c>
    </row>
    <row r="79">
      <c r="A79" s="2">
        <v>46184</v>
      </c>
      <c r="B79" s="0" t="inlineStr">
        <is>
          <t xml:space="preserve">ACH DEBIT ONDECK CAPITAL REMIT</t>
        </is>
      </c>
      <c r="C79" s="3">
        <v>-312.0</v>
      </c>
      <c r="D79" s="3">
        <v>312.0</v>
      </c>
      <c r="F79" s="3">
        <v>14857.11</v>
      </c>
      <c r="H79" s="0" t="inlineStr">
        <is>
          <t xml:space="preserve">Meridian Commerce Bank ····3202</t>
        </is>
      </c>
      <c r="I79" s="0" t="str">
        <f>HYPERLINK("apex-statement-2026-06.pdf#page=1","A-2 p.1 l.20")</f>
        <v>A-2 p.1 l.20</v>
      </c>
    </row>
    <row r="80">
      <c r="A80" s="2">
        <v>46184</v>
      </c>
      <c r="B80" s="0" t="inlineStr">
        <is>
          <t xml:space="preserve">ACH DEBIT VADER MOUNTAIN CAP REMIT</t>
        </is>
      </c>
      <c r="C80" s="3">
        <v>-1850.0</v>
      </c>
      <c r="D80" s="3">
        <v>1850.0</v>
      </c>
      <c r="F80" s="3">
        <v>13007.11</v>
      </c>
      <c r="H80" s="0" t="inlineStr">
        <is>
          <t xml:space="preserve">Meridian Commerce Bank ····3202</t>
        </is>
      </c>
      <c r="I80" s="0" t="str">
        <f>HYPERLINK("apex-statement-2026-06.pdf#page=1","A-2 p.1 l.21")</f>
        <v>A-2 p.1 l.21</v>
      </c>
    </row>
    <row r="81">
      <c r="A81" s="2">
        <v>46185</v>
      </c>
      <c r="B81" s="0" t="inlineStr">
        <is>
          <t xml:space="preserve">ACH DEBIT ONDECK CAPITAL REMIT</t>
        </is>
      </c>
      <c r="C81" s="3">
        <v>-312.0</v>
      </c>
      <c r="D81" s="3">
        <v>312.0</v>
      </c>
      <c r="F81" s="3">
        <v>12695.11</v>
      </c>
      <c r="H81" s="0" t="inlineStr">
        <is>
          <t xml:space="preserve">Meridian Commerce Bank ····3202</t>
        </is>
      </c>
      <c r="I81" s="0" t="str">
        <f>HYPERLINK("apex-statement-2026-06.pdf#page=1","A-2 p.1 l.22")</f>
        <v>A-2 p.1 l.22</v>
      </c>
    </row>
    <row r="82">
      <c r="A82" s="2">
        <v>46185</v>
      </c>
      <c r="B82" s="0" t="inlineStr">
        <is>
          <t xml:space="preserve">POS PURCHASE GRAINGER</t>
        </is>
      </c>
      <c r="C82" s="3">
        <v>-1940.43</v>
      </c>
      <c r="D82" s="3">
        <v>1940.43</v>
      </c>
      <c r="F82" s="3">
        <v>10754.68</v>
      </c>
      <c r="H82" s="0" t="inlineStr">
        <is>
          <t xml:space="preserve">Meridian Commerce Bank ····3202</t>
        </is>
      </c>
      <c r="I82" s="0" t="str">
        <f>HYPERLINK("apex-statement-2026-06.pdf#page=1","A-2 p.1 l.23")</f>
        <v>A-2 p.1 l.23</v>
      </c>
    </row>
    <row r="83">
      <c r="A83" s="2">
        <v>46188</v>
      </c>
      <c r="B83" s="0" t="inlineStr">
        <is>
          <t xml:space="preserve">ONLINE TRANSFER FROM SAV ...7712</t>
        </is>
      </c>
      <c r="C83" s="3">
        <v>2280.14</v>
      </c>
      <c r="E83" s="3">
        <v>2280.14</v>
      </c>
      <c r="F83" s="3">
        <v>13034.82</v>
      </c>
      <c r="H83" s="0" t="inlineStr">
        <is>
          <t xml:space="preserve">Meridian Commerce Bank ····3202</t>
        </is>
      </c>
      <c r="I83" s="0" t="str">
        <f>HYPERLINK("apex-statement-2026-06.pdf#page=1","A-2 p.1 l.24")</f>
        <v>A-2 p.1 l.24</v>
      </c>
    </row>
    <row r="84">
      <c r="A84" s="2">
        <v>46188</v>
      </c>
      <c r="B84" s="0" t="inlineStr">
        <is>
          <t xml:space="preserve">REMOTE DEPOSIT CAPTURE</t>
        </is>
      </c>
      <c r="C84" s="3">
        <v>1957.87</v>
      </c>
      <c r="E84" s="3">
        <v>1957.87</v>
      </c>
      <c r="F84" s="3">
        <v>14992.69</v>
      </c>
      <c r="H84" s="0" t="inlineStr">
        <is>
          <t xml:space="preserve">Meridian Commerce Bank ····3202</t>
        </is>
      </c>
      <c r="I84" s="0" t="str">
        <f>HYPERLINK("apex-statement-2026-06.pdf#page=1","A-2 p.1 l.25")</f>
        <v>A-2 p.1 l.25</v>
      </c>
    </row>
    <row r="85">
      <c r="A85" s="2">
        <v>46188</v>
      </c>
      <c r="B85" s="0" t="inlineStr">
        <is>
          <t xml:space="preserve">NSF RETURN ITEM FEE</t>
        </is>
      </c>
      <c r="C85" s="3">
        <v>-35.0</v>
      </c>
      <c r="D85" s="3">
        <v>35.0</v>
      </c>
      <c r="F85" s="3">
        <v>14957.69</v>
      </c>
      <c r="H85" s="0" t="inlineStr">
        <is>
          <t xml:space="preserve">Meridian Commerce Bank ····3202</t>
        </is>
      </c>
      <c r="I85" s="0" t="str">
        <f>HYPERLINK("apex-statement-2026-06.pdf#page=1","A-2 p.1 l.26")</f>
        <v>A-2 p.1 l.26</v>
      </c>
    </row>
    <row r="86">
      <c r="A86" s="2">
        <v>46188</v>
      </c>
      <c r="B86" s="0" t="inlineStr">
        <is>
          <t xml:space="preserve">ACH DEBIT ONDECK CAPITAL REMIT</t>
        </is>
      </c>
      <c r="C86" s="3">
        <v>-312.0</v>
      </c>
      <c r="D86" s="3">
        <v>312.0</v>
      </c>
      <c r="F86" s="3">
        <v>14645.69</v>
      </c>
      <c r="H86" s="0" t="inlineStr">
        <is>
          <t xml:space="preserve">Meridian Commerce Bank ····3202</t>
        </is>
      </c>
      <c r="I86" s="0" t="str">
        <f>HYPERLINK("apex-statement-2026-06.pdf#page=1","A-2 p.1 l.27")</f>
        <v>A-2 p.1 l.27</v>
      </c>
    </row>
    <row r="87">
      <c r="A87" s="2">
        <v>46188</v>
      </c>
      <c r="B87" s="0" t="inlineStr">
        <is>
          <t xml:space="preserve">RETURNED ITEM - INSUFFICIENT FUNDS</t>
        </is>
      </c>
      <c r="C87" s="3">
        <v>-374.54</v>
      </c>
      <c r="D87" s="3">
        <v>374.54</v>
      </c>
      <c r="F87" s="3">
        <v>14271.15</v>
      </c>
      <c r="H87" s="0" t="inlineStr">
        <is>
          <t xml:space="preserve">Meridian Commerce Bank ····3202</t>
        </is>
      </c>
      <c r="I87" s="0" t="str">
        <f>HYPERLINK("apex-statement-2026-06.pdf#page=1","A-2 p.1 l.28")</f>
        <v>A-2 p.1 l.28</v>
      </c>
    </row>
    <row r="88">
      <c r="A88" s="2">
        <v>46189</v>
      </c>
      <c r="B88" s="0" t="inlineStr">
        <is>
          <t xml:space="preserve">ACH DEBIT ONDECK CAPITAL REMIT</t>
        </is>
      </c>
      <c r="C88" s="3">
        <v>-312.0</v>
      </c>
      <c r="D88" s="3">
        <v>312.0</v>
      </c>
      <c r="F88" s="3">
        <v>13959.15</v>
      </c>
      <c r="H88" s="0" t="inlineStr">
        <is>
          <t xml:space="preserve">Meridian Commerce Bank ····3202</t>
        </is>
      </c>
      <c r="I88" s="0" t="str">
        <f>HYPERLINK("apex-statement-2026-06.pdf#page=1","A-2 p.1 l.29")</f>
        <v>A-2 p.1 l.29</v>
      </c>
    </row>
    <row r="89">
      <c r="A89" s="2">
        <v>46189</v>
      </c>
      <c r="B89" s="0" t="inlineStr">
        <is>
          <t xml:space="preserve">POS PURCHASE NAPA AUTO PARTS</t>
        </is>
      </c>
      <c r="C89" s="3">
        <v>-762.93</v>
      </c>
      <c r="D89" s="3">
        <v>762.93</v>
      </c>
      <c r="F89" s="3">
        <v>13196.22</v>
      </c>
      <c r="H89" s="0" t="inlineStr">
        <is>
          <t xml:space="preserve">Meridian Commerce Bank ····3202</t>
        </is>
      </c>
      <c r="I89" s="0" t="str">
        <f>HYPERLINK("apex-statement-2026-06.pdf#page=1","A-2 p.1 l.30")</f>
        <v>A-2 p.1 l.30</v>
      </c>
    </row>
    <row r="90">
      <c r="A90" s="2">
        <v>46190</v>
      </c>
      <c r="B90" s="0" t="inlineStr">
        <is>
          <t xml:space="preserve">COUNTER DEPOSIT</t>
        </is>
      </c>
      <c r="C90" s="3">
        <v>2946.06</v>
      </c>
      <c r="E90" s="3">
        <v>2946.06</v>
      </c>
      <c r="F90" s="3">
        <v>16142.28</v>
      </c>
      <c r="H90" s="0" t="inlineStr">
        <is>
          <t xml:space="preserve">Meridian Commerce Bank ····3202</t>
        </is>
      </c>
      <c r="I90" s="0" t="str">
        <f>HYPERLINK("apex-statement-2026-06.pdf#page=1","A-2 p.1 l.31")</f>
        <v>A-2 p.1 l.31</v>
      </c>
    </row>
    <row r="91">
      <c r="A91" s="2">
        <v>46190</v>
      </c>
      <c r="B91" s="0" t="inlineStr">
        <is>
          <t xml:space="preserve">ACH DEBIT ONDECK CAPITAL REMIT</t>
        </is>
      </c>
      <c r="C91" s="3">
        <v>-312.0</v>
      </c>
      <c r="D91" s="3">
        <v>312.0</v>
      </c>
      <c r="F91" s="3">
        <v>15830.28</v>
      </c>
      <c r="H91" s="0" t="inlineStr">
        <is>
          <t xml:space="preserve">Meridian Commerce Bank ····3202</t>
        </is>
      </c>
      <c r="I91" s="0" t="str">
        <f>HYPERLINK("apex-statement-2026-06.pdf#page=1","A-2 p.1 l.32")</f>
        <v>A-2 p.1 l.32</v>
      </c>
    </row>
    <row r="92">
      <c r="A92" s="2">
        <v>46191</v>
      </c>
      <c r="B92" s="0" t="inlineStr">
        <is>
          <t xml:space="preserve">ACH DEBIT ONDECK CAPITAL REMIT</t>
        </is>
      </c>
      <c r="C92" s="3">
        <v>-312.0</v>
      </c>
      <c r="D92" s="3">
        <v>312.0</v>
      </c>
      <c r="F92" s="3">
        <v>15518.28</v>
      </c>
      <c r="H92" s="0" t="inlineStr">
        <is>
          <t xml:space="preserve">Meridian Commerce Bank ····3202</t>
        </is>
      </c>
      <c r="I92" s="0" t="str">
        <f>HYPERLINK("apex-statement-2026-06.pdf#page=2","A-2 p.2 l.1")</f>
        <v>A-2 p.2 l.1</v>
      </c>
    </row>
    <row r="93">
      <c r="A93" s="2">
        <v>46191</v>
      </c>
      <c r="B93" s="0" t="inlineStr">
        <is>
          <t xml:space="preserve">ACH DEBIT VADER MOUNTAIN CAP REMIT</t>
        </is>
      </c>
      <c r="C93" s="3">
        <v>-1850.0</v>
      </c>
      <c r="D93" s="3">
        <v>1850.0</v>
      </c>
      <c r="F93" s="3">
        <v>13668.28</v>
      </c>
      <c r="H93" s="0" t="inlineStr">
        <is>
          <t xml:space="preserve">Meridian Commerce Bank ····3202</t>
        </is>
      </c>
      <c r="I93" s="0" t="str">
        <f>HYPERLINK("apex-statement-2026-06.pdf#page=2","A-2 p.2 l.2")</f>
        <v>A-2 p.2 l.2</v>
      </c>
    </row>
    <row r="94">
      <c r="A94" s="2">
        <v>46193</v>
      </c>
      <c r="B94" s="0" t="inlineStr">
        <is>
          <t xml:space="preserve">POS PURCHASE O REILLY AUTO</t>
        </is>
      </c>
      <c r="C94" s="3">
        <v>-1663.66</v>
      </c>
      <c r="D94" s="3">
        <v>1663.66</v>
      </c>
      <c r="F94" s="3">
        <v>12004.62</v>
      </c>
      <c r="H94" s="0" t="inlineStr">
        <is>
          <t xml:space="preserve">Meridian Commerce Bank ····3202</t>
        </is>
      </c>
      <c r="I94" s="0" t="str">
        <f>HYPERLINK("apex-statement-2026-06.pdf#page=2","A-2 p.2 l.3")</f>
        <v>A-2 p.2 l.3</v>
      </c>
    </row>
    <row r="95">
      <c r="A95" s="2">
        <v>46194</v>
      </c>
      <c r="B95" s="0" t="inlineStr">
        <is>
          <t xml:space="preserve">POS PURCHASE STATE FARM INS</t>
        </is>
      </c>
      <c r="C95" s="3">
        <v>-853.3</v>
      </c>
      <c r="D95" s="3">
        <v>853.3</v>
      </c>
      <c r="F95" s="3">
        <v>11151.32</v>
      </c>
      <c r="H95" s="0" t="inlineStr">
        <is>
          <t xml:space="preserve">Meridian Commerce Bank ····3202</t>
        </is>
      </c>
      <c r="I95" s="0" t="str">
        <f>HYPERLINK("apex-statement-2026-06.pdf#page=2","A-2 p.2 l.4")</f>
        <v>A-2 p.2 l.4</v>
      </c>
    </row>
    <row r="96">
      <c r="A96" s="2">
        <v>46195</v>
      </c>
      <c r="B96" s="0" t="inlineStr">
        <is>
          <t xml:space="preserve">COUNTER DEPOSIT</t>
        </is>
      </c>
      <c r="C96" s="3">
        <v>2450.18</v>
      </c>
      <c r="E96" s="3">
        <v>2450.18</v>
      </c>
      <c r="F96" s="3">
        <v>13601.5</v>
      </c>
      <c r="H96" s="0" t="inlineStr">
        <is>
          <t xml:space="preserve">Meridian Commerce Bank ····3202</t>
        </is>
      </c>
      <c r="I96" s="0" t="str">
        <f>HYPERLINK("apex-statement-2026-06.pdf#page=2","A-2 p.2 l.5")</f>
        <v>A-2 p.2 l.5</v>
      </c>
    </row>
    <row r="97">
      <c r="A97" s="2">
        <v>46195</v>
      </c>
      <c r="B97" s="0" t="inlineStr">
        <is>
          <t xml:space="preserve">ACH DEBIT ONDECK CAPITAL REMIT</t>
        </is>
      </c>
      <c r="C97" s="3">
        <v>-312.0</v>
      </c>
      <c r="D97" s="3">
        <v>312.0</v>
      </c>
      <c r="F97" s="3">
        <v>13289.5</v>
      </c>
      <c r="H97" s="0" t="inlineStr">
        <is>
          <t xml:space="preserve">Meridian Commerce Bank ····3202</t>
        </is>
      </c>
      <c r="I97" s="0" t="str">
        <f>HYPERLINK("apex-statement-2026-06.pdf#page=2","A-2 p.2 l.6")</f>
        <v>A-2 p.2 l.6</v>
      </c>
    </row>
    <row r="98">
      <c r="A98" s="2">
        <v>46195</v>
      </c>
      <c r="B98" s="0" t="inlineStr">
        <is>
          <t xml:space="preserve">POS PURCHASE SNAP-ON TOOLS</t>
        </is>
      </c>
      <c r="C98" s="3">
        <v>-2210.89</v>
      </c>
      <c r="D98" s="3">
        <v>2210.89</v>
      </c>
      <c r="F98" s="3">
        <v>11078.61</v>
      </c>
      <c r="H98" s="0" t="inlineStr">
        <is>
          <t xml:space="preserve">Meridian Commerce Bank ····3202</t>
        </is>
      </c>
      <c r="I98" s="0" t="str">
        <f>HYPERLINK("apex-statement-2026-06.pdf#page=2","A-2 p.2 l.7")</f>
        <v>A-2 p.2 l.7</v>
      </c>
    </row>
    <row r="99">
      <c r="A99" s="2">
        <v>46196</v>
      </c>
      <c r="B99" s="0" t="inlineStr">
        <is>
          <t xml:space="preserve">REMOTE DEPOSIT CAPTURE</t>
        </is>
      </c>
      <c r="C99" s="3">
        <v>1818.41</v>
      </c>
      <c r="E99" s="3">
        <v>1818.41</v>
      </c>
      <c r="F99" s="3">
        <v>12897.02</v>
      </c>
      <c r="H99" s="0" t="inlineStr">
        <is>
          <t xml:space="preserve">Meridian Commerce Bank ····3202</t>
        </is>
      </c>
      <c r="I99" s="0" t="str">
        <f>HYPERLINK("apex-statement-2026-06.pdf#page=2","A-2 p.2 l.8")</f>
        <v>A-2 p.2 l.8</v>
      </c>
    </row>
    <row r="100">
      <c r="A100" s="2">
        <v>46196</v>
      </c>
      <c r="B100" s="0" t="inlineStr">
        <is>
          <t xml:space="preserve">ACH DEBIT ONDECK CAPITAL REMIT</t>
        </is>
      </c>
      <c r="C100" s="3">
        <v>-312.0</v>
      </c>
      <c r="D100" s="3">
        <v>312.0</v>
      </c>
      <c r="F100" s="3">
        <v>12585.02</v>
      </c>
      <c r="H100" s="0" t="inlineStr">
        <is>
          <t xml:space="preserve">Meridian Commerce Bank ····3202</t>
        </is>
      </c>
      <c r="I100" s="0" t="str">
        <f>HYPERLINK("apex-statement-2026-06.pdf#page=2","A-2 p.2 l.9")</f>
        <v>A-2 p.2 l.9</v>
      </c>
    </row>
    <row r="101">
      <c r="A101" s="2">
        <v>46196</v>
      </c>
      <c r="B101" s="0" t="inlineStr">
        <is>
          <t xml:space="preserve">POS PURCHASE SNAP-ON TOOLS</t>
        </is>
      </c>
      <c r="C101" s="3">
        <v>-402.71</v>
      </c>
      <c r="D101" s="3">
        <v>402.71</v>
      </c>
      <c r="F101" s="3">
        <v>12182.31</v>
      </c>
      <c r="H101" s="0" t="inlineStr">
        <is>
          <t xml:space="preserve">Meridian Commerce Bank ····3202</t>
        </is>
      </c>
      <c r="I101" s="0" t="str">
        <f>HYPERLINK("apex-statement-2026-06.pdf#page=2","A-2 p.2 l.10")</f>
        <v>A-2 p.2 l.10</v>
      </c>
    </row>
    <row r="102">
      <c r="A102" s="2">
        <v>46196</v>
      </c>
      <c r="B102" s="0" t="inlineStr">
        <is>
          <t xml:space="preserve">POS PURCHASE NAPA AUTO PARTS</t>
        </is>
      </c>
      <c r="C102" s="3">
        <v>-750.99</v>
      </c>
      <c r="D102" s="3">
        <v>750.99</v>
      </c>
      <c r="F102" s="3">
        <v>11431.32</v>
      </c>
      <c r="H102" s="0" t="inlineStr">
        <is>
          <t xml:space="preserve">Meridian Commerce Bank ····3202</t>
        </is>
      </c>
      <c r="I102" s="0" t="str">
        <f>HYPERLINK("apex-statement-2026-06.pdf#page=2","A-2 p.2 l.11")</f>
        <v>A-2 p.2 l.11</v>
      </c>
    </row>
    <row r="103">
      <c r="A103" s="2">
        <v>46197</v>
      </c>
      <c r="B103" s="0" t="inlineStr">
        <is>
          <t xml:space="preserve">ONLINE TRANSFER FROM SAV ...7712</t>
        </is>
      </c>
      <c r="C103" s="3">
        <v>7171.46</v>
      </c>
      <c r="E103" s="3">
        <v>7171.46</v>
      </c>
      <c r="F103" s="3">
        <v>18602.78</v>
      </c>
      <c r="H103" s="0" t="inlineStr">
        <is>
          <t xml:space="preserve">Meridian Commerce Bank ····3202</t>
        </is>
      </c>
      <c r="I103" s="0" t="str">
        <f>HYPERLINK("apex-statement-2026-06.pdf#page=2","A-2 p.2 l.12")</f>
        <v>A-2 p.2 l.12</v>
      </c>
    </row>
    <row r="104">
      <c r="A104" s="2">
        <v>46197</v>
      </c>
      <c r="B104" s="0" t="inlineStr">
        <is>
          <t xml:space="preserve">STRIPE TRANSFER</t>
        </is>
      </c>
      <c r="C104" s="3">
        <v>2554.7</v>
      </c>
      <c r="E104" s="3">
        <v>2554.7</v>
      </c>
      <c r="F104" s="3">
        <v>21157.48</v>
      </c>
      <c r="H104" s="0" t="inlineStr">
        <is>
          <t xml:space="preserve">Meridian Commerce Bank ····3202</t>
        </is>
      </c>
      <c r="I104" s="0" t="str">
        <f>HYPERLINK("apex-statement-2026-06.pdf#page=2","A-2 p.2 l.13")</f>
        <v>A-2 p.2 l.13</v>
      </c>
    </row>
    <row r="105">
      <c r="A105" s="2">
        <v>46197</v>
      </c>
      <c r="B105" s="0" t="inlineStr">
        <is>
          <t xml:space="preserve">NSF RETURN ITEM FEE</t>
        </is>
      </c>
      <c r="C105" s="3">
        <v>-35.0</v>
      </c>
      <c r="D105" s="3">
        <v>35.0</v>
      </c>
      <c r="F105" s="3">
        <v>21122.48</v>
      </c>
      <c r="H105" s="0" t="inlineStr">
        <is>
          <t xml:space="preserve">Meridian Commerce Bank ····3202</t>
        </is>
      </c>
      <c r="I105" s="0" t="str">
        <f>HYPERLINK("apex-statement-2026-06.pdf#page=2","A-2 p.2 l.14")</f>
        <v>A-2 p.2 l.14</v>
      </c>
    </row>
    <row r="106">
      <c r="A106" s="2">
        <v>46197</v>
      </c>
      <c r="B106" s="0" t="inlineStr">
        <is>
          <t xml:space="preserve">POS PURCHASE SNAP-ON TOOLS</t>
        </is>
      </c>
      <c r="C106" s="3">
        <v>-211.66</v>
      </c>
      <c r="D106" s="3">
        <v>211.66</v>
      </c>
      <c r="F106" s="3">
        <v>20910.82</v>
      </c>
      <c r="H106" s="0" t="inlineStr">
        <is>
          <t xml:space="preserve">Meridian Commerce Bank ····3202</t>
        </is>
      </c>
      <c r="I106" s="0" t="str">
        <f>HYPERLINK("apex-statement-2026-06.pdf#page=2","A-2 p.2 l.15")</f>
        <v>A-2 p.2 l.15</v>
      </c>
    </row>
    <row r="107">
      <c r="A107" s="2">
        <v>46197</v>
      </c>
      <c r="B107" s="0" t="inlineStr">
        <is>
          <t xml:space="preserve">ACH DEBIT ONDECK CAPITAL REMIT</t>
        </is>
      </c>
      <c r="C107" s="3">
        <v>-312.0</v>
      </c>
      <c r="D107" s="3">
        <v>312.0</v>
      </c>
      <c r="F107" s="3">
        <v>20598.82</v>
      </c>
      <c r="H107" s="0" t="inlineStr">
        <is>
          <t xml:space="preserve">Meridian Commerce Bank ····3202</t>
        </is>
      </c>
      <c r="I107" s="0" t="str">
        <f>HYPERLINK("apex-statement-2026-06.pdf#page=2","A-2 p.2 l.16")</f>
        <v>A-2 p.2 l.16</v>
      </c>
    </row>
    <row r="108">
      <c r="A108" s="2">
        <v>46197</v>
      </c>
      <c r="B108" s="0" t="inlineStr">
        <is>
          <t xml:space="preserve">RETURNED ITEM - INSUFFICIENT FUNDS</t>
        </is>
      </c>
      <c r="C108" s="3">
        <v>-618.15</v>
      </c>
      <c r="D108" s="3">
        <v>618.15</v>
      </c>
      <c r="F108" s="3">
        <v>19980.67</v>
      </c>
      <c r="H108" s="0" t="inlineStr">
        <is>
          <t xml:space="preserve">Meridian Commerce Bank ····3202</t>
        </is>
      </c>
      <c r="I108" s="0" t="str">
        <f>HYPERLINK("apex-statement-2026-06.pdf#page=2","A-2 p.2 l.17")</f>
        <v>A-2 p.2 l.17</v>
      </c>
    </row>
    <row r="109">
      <c r="A109" s="2">
        <v>46197</v>
      </c>
      <c r="B109" s="0" t="inlineStr">
        <is>
          <t xml:space="preserve">ADP WAGE PAY 00191</t>
        </is>
      </c>
      <c r="C109" s="3">
        <v>-6240.75</v>
      </c>
      <c r="D109" s="3">
        <v>6240.75</v>
      </c>
      <c r="F109" s="3">
        <v>13739.92</v>
      </c>
      <c r="H109" s="0" t="inlineStr">
        <is>
          <t xml:space="preserve">Meridian Commerce Bank ····3202</t>
        </is>
      </c>
      <c r="I109" s="0" t="str">
        <f>HYPERLINK("apex-statement-2026-06.pdf#page=2","A-2 p.2 l.18")</f>
        <v>A-2 p.2 l.18</v>
      </c>
    </row>
    <row r="110">
      <c r="A110" s="2">
        <v>46198</v>
      </c>
      <c r="B110" s="0" t="inlineStr">
        <is>
          <t xml:space="preserve">REMOTE DEPOSIT CAPTURE</t>
        </is>
      </c>
      <c r="C110" s="3">
        <v>3149.49</v>
      </c>
      <c r="E110" s="3">
        <v>3149.49</v>
      </c>
      <c r="F110" s="3">
        <v>16889.41</v>
      </c>
      <c r="H110" s="0" t="inlineStr">
        <is>
          <t xml:space="preserve">Meridian Commerce Bank ····3202</t>
        </is>
      </c>
      <c r="I110" s="0" t="str">
        <f>HYPERLINK("apex-statement-2026-06.pdf#page=2","A-2 p.2 l.19")</f>
        <v>A-2 p.2 l.19</v>
      </c>
    </row>
    <row r="111">
      <c r="A111" s="2">
        <v>46198</v>
      </c>
      <c r="B111" s="0" t="inlineStr">
        <is>
          <t xml:space="preserve">NSF RETURN ITEM FEE</t>
        </is>
      </c>
      <c r="C111" s="3">
        <v>-35.0</v>
      </c>
      <c r="D111" s="3">
        <v>35.0</v>
      </c>
      <c r="F111" s="3">
        <v>16854.41</v>
      </c>
      <c r="H111" s="0" t="inlineStr">
        <is>
          <t xml:space="preserve">Meridian Commerce Bank ····3202</t>
        </is>
      </c>
      <c r="I111" s="0" t="str">
        <f>HYPERLINK("apex-statement-2026-06.pdf#page=2","A-2 p.2 l.20")</f>
        <v>A-2 p.2 l.20</v>
      </c>
    </row>
    <row r="112">
      <c r="A112" s="2">
        <v>46198</v>
      </c>
      <c r="B112" s="0" t="inlineStr">
        <is>
          <t xml:space="preserve">RETURNED ITEM - INSUFFICIENT FUNDS</t>
        </is>
      </c>
      <c r="C112" s="3">
        <v>-246.78</v>
      </c>
      <c r="D112" s="3">
        <v>246.78</v>
      </c>
      <c r="F112" s="3">
        <v>16607.63</v>
      </c>
      <c r="H112" s="0" t="inlineStr">
        <is>
          <t xml:space="preserve">Meridian Commerce Bank ····3202</t>
        </is>
      </c>
      <c r="I112" s="0" t="str">
        <f>HYPERLINK("apex-statement-2026-06.pdf#page=2","A-2 p.2 l.21")</f>
        <v>A-2 p.2 l.21</v>
      </c>
    </row>
    <row r="113">
      <c r="A113" s="2">
        <v>46198</v>
      </c>
      <c r="B113" s="0" t="inlineStr">
        <is>
          <t xml:space="preserve">ACH DEBIT ONDECK CAPITAL REMIT</t>
        </is>
      </c>
      <c r="C113" s="3">
        <v>-312.0</v>
      </c>
      <c r="D113" s="3">
        <v>312.0</v>
      </c>
      <c r="F113" s="3">
        <v>16295.63</v>
      </c>
      <c r="H113" s="0" t="inlineStr">
        <is>
          <t xml:space="preserve">Meridian Commerce Bank ····3202</t>
        </is>
      </c>
      <c r="I113" s="0" t="str">
        <f>HYPERLINK("apex-statement-2026-06.pdf#page=2","A-2 p.2 l.22")</f>
        <v>A-2 p.2 l.22</v>
      </c>
    </row>
    <row r="114">
      <c r="A114" s="2">
        <v>46198</v>
      </c>
      <c r="B114" s="0" t="inlineStr">
        <is>
          <t xml:space="preserve">ACH DEBIT VADER MOUNTAIN CAP REMIT</t>
        </is>
      </c>
      <c r="C114" s="3">
        <v>-1850.0</v>
      </c>
      <c r="D114" s="3">
        <v>1850.0</v>
      </c>
      <c r="F114" s="3">
        <v>14445.63</v>
      </c>
      <c r="H114" s="0" t="inlineStr">
        <is>
          <t xml:space="preserve">Meridian Commerce Bank ····3202</t>
        </is>
      </c>
      <c r="I114" s="0" t="str">
        <f>HYPERLINK("apex-statement-2026-06.pdf#page=2","A-2 p.2 l.23")</f>
        <v>A-2 p.2 l.23</v>
      </c>
    </row>
    <row r="115">
      <c r="A115" s="2">
        <v>46199</v>
      </c>
      <c r="B115" s="0" t="inlineStr">
        <is>
          <t xml:space="preserve">STRIPE TRANSFER</t>
        </is>
      </c>
      <c r="C115" s="3">
        <v>4416.2</v>
      </c>
      <c r="E115" s="3">
        <v>4416.2</v>
      </c>
      <c r="F115" s="3">
        <v>18861.83</v>
      </c>
      <c r="H115" s="0" t="inlineStr">
        <is>
          <t xml:space="preserve">Meridian Commerce Bank ····3202</t>
        </is>
      </c>
      <c r="I115" s="0" t="str">
        <f>HYPERLINK("apex-statement-2026-06.pdf#page=2","A-2 p.2 l.24")</f>
        <v>A-2 p.2 l.24</v>
      </c>
    </row>
    <row r="116">
      <c r="A116" s="2">
        <v>46199</v>
      </c>
      <c r="B116" s="0" t="inlineStr">
        <is>
          <t xml:space="preserve">ACH DEBIT ONDECK CAPITAL REMIT</t>
        </is>
      </c>
      <c r="C116" s="3">
        <v>-312.0</v>
      </c>
      <c r="D116" s="3">
        <v>312.0</v>
      </c>
      <c r="F116" s="3">
        <v>18549.83</v>
      </c>
      <c r="H116" s="0" t="inlineStr">
        <is>
          <t xml:space="preserve">Meridian Commerce Bank ····3202</t>
        </is>
      </c>
      <c r="I116" s="0" t="str">
        <f>HYPERLINK("apex-statement-2026-06.pdf#page=2","A-2 p.2 l.25")</f>
        <v>A-2 p.2 l.25</v>
      </c>
    </row>
    <row r="117">
      <c r="A117" s="2">
        <v>46199</v>
      </c>
      <c r="B117" s="0" t="inlineStr">
        <is>
          <t xml:space="preserve">POS PURCHASE NAPA AUTO PARTS</t>
        </is>
      </c>
      <c r="C117" s="3">
        <v>-1159.99</v>
      </c>
      <c r="D117" s="3">
        <v>1159.99</v>
      </c>
      <c r="F117" s="3">
        <v>17389.84</v>
      </c>
      <c r="H117" s="0" t="inlineStr">
        <is>
          <t xml:space="preserve">Meridian Commerce Bank ····3202</t>
        </is>
      </c>
      <c r="I117" s="0" t="str">
        <f>HYPERLINK("apex-statement-2026-06.pdf#page=2","A-2 p.2 l.26")</f>
        <v>A-2 p.2 l.26</v>
      </c>
    </row>
    <row r="118">
      <c r="A118" s="2">
        <v>46201</v>
      </c>
      <c r="B118" s="0" t="inlineStr">
        <is>
          <t xml:space="preserve">POS PURCHASE VERIZON WIRELESS</t>
        </is>
      </c>
      <c r="C118" s="3">
        <v>-1899.54</v>
      </c>
      <c r="D118" s="3">
        <v>1899.54</v>
      </c>
      <c r="F118" s="3">
        <v>15490.3</v>
      </c>
      <c r="H118" s="0" t="inlineStr">
        <is>
          <t xml:space="preserve">Meridian Commerce Bank ····3202</t>
        </is>
      </c>
      <c r="I118" s="0" t="str">
        <f>HYPERLINK("apex-statement-2026-06.pdf#page=2","A-2 p.2 l.27")</f>
        <v>A-2 p.2 l.27</v>
      </c>
    </row>
    <row r="119">
      <c r="A119" s="2">
        <v>46202</v>
      </c>
      <c r="B119" s="0" t="inlineStr">
        <is>
          <t xml:space="preserve">ZELLE CREDIT</t>
        </is>
      </c>
      <c r="C119" s="3">
        <v>4472.76</v>
      </c>
      <c r="E119" s="3">
        <v>4472.76</v>
      </c>
      <c r="F119" s="3">
        <v>19963.06</v>
      </c>
      <c r="H119" s="0" t="inlineStr">
        <is>
          <t xml:space="preserve">Meridian Commerce Bank ····3202</t>
        </is>
      </c>
      <c r="I119" s="0" t="str">
        <f>HYPERLINK("apex-statement-2026-06.pdf#page=2","A-2 p.2 l.28")</f>
        <v>A-2 p.2 l.28</v>
      </c>
    </row>
    <row r="120">
      <c r="A120" s="2">
        <v>46202</v>
      </c>
      <c r="B120" s="0" t="inlineStr">
        <is>
          <t xml:space="preserve">NSF RETURN ITEM FEE</t>
        </is>
      </c>
      <c r="C120" s="3">
        <v>-35.0</v>
      </c>
      <c r="D120" s="3">
        <v>35.0</v>
      </c>
      <c r="F120" s="3">
        <v>19928.06</v>
      </c>
      <c r="H120" s="0" t="inlineStr">
        <is>
          <t xml:space="preserve">Meridian Commerce Bank ····3202</t>
        </is>
      </c>
      <c r="I120" s="0" t="str">
        <f>HYPERLINK("apex-statement-2026-06.pdf#page=2","A-2 p.2 l.29")</f>
        <v>A-2 p.2 l.29</v>
      </c>
    </row>
    <row r="121">
      <c r="A121" s="2">
        <v>46202</v>
      </c>
      <c r="B121" s="0" t="inlineStr">
        <is>
          <t xml:space="preserve">ACH DEBIT ONDECK CAPITAL REMIT</t>
        </is>
      </c>
      <c r="C121" s="3">
        <v>-312.0</v>
      </c>
      <c r="D121" s="3">
        <v>312.0</v>
      </c>
      <c r="F121" s="3">
        <v>19616.06</v>
      </c>
      <c r="H121" s="0" t="inlineStr">
        <is>
          <t xml:space="preserve">Meridian Commerce Bank ····3202</t>
        </is>
      </c>
      <c r="I121" s="0" t="str">
        <f>HYPERLINK("apex-statement-2026-06.pdf#page=2","A-2 p.2 l.30")</f>
        <v>A-2 p.2 l.30</v>
      </c>
    </row>
    <row r="122">
      <c r="A122" s="2">
        <v>46202</v>
      </c>
      <c r="B122" s="0" t="inlineStr">
        <is>
          <t xml:space="preserve">RETURNED ITEM - INSUFFICIENT FUNDS</t>
        </is>
      </c>
      <c r="C122" s="3">
        <v>-584.39</v>
      </c>
      <c r="D122" s="3">
        <v>584.39</v>
      </c>
      <c r="F122" s="3">
        <v>19031.67</v>
      </c>
      <c r="H122" s="0" t="inlineStr">
        <is>
          <t xml:space="preserve">Meridian Commerce Bank ····3202</t>
        </is>
      </c>
      <c r="I122" s="0" t="str">
        <f>HYPERLINK("apex-statement-2026-06.pdf#page=2","A-2 p.2 l.31")</f>
        <v>A-2 p.2 l.31</v>
      </c>
    </row>
    <row r="123">
      <c r="A123" s="2">
        <v>46203</v>
      </c>
      <c r="B123" s="0" t="inlineStr">
        <is>
          <t xml:space="preserve">ACH DEBIT ONDECK CAPITAL REMIT</t>
        </is>
      </c>
      <c r="C123" s="3">
        <v>-312.0</v>
      </c>
      <c r="D123" s="3">
        <v>312.0</v>
      </c>
      <c r="F123" s="3">
        <v>18719.67</v>
      </c>
      <c r="H123" s="0" t="inlineStr">
        <is>
          <t xml:space="preserve">Meridian Commerce Bank ····3202</t>
        </is>
      </c>
      <c r="I123" s="0" t="str">
        <f>HYPERLINK("apex-statement-2026-06.pdf#page=2","A-2 p.2 l.32")</f>
        <v>A-2 p.2 l.32</v>
      </c>
    </row>
    <row r="124">
      <c r="A124" s="2">
        <v>46203</v>
      </c>
      <c r="B124" s="0" t="inlineStr">
        <is>
          <t xml:space="preserve">POS PURCHASE SHELL OIL</t>
        </is>
      </c>
      <c r="C124" s="3">
        <v>-1429.46</v>
      </c>
      <c r="D124" s="3">
        <v>1429.46</v>
      </c>
      <c r="F124" s="3">
        <v>17290.21</v>
      </c>
      <c r="H124" s="0" t="inlineStr">
        <is>
          <t xml:space="preserve">Meridian Commerce Bank ····3202</t>
        </is>
      </c>
      <c r="I124" s="0" t="str">
        <f>HYPERLINK("apex-statement-2026-06.pdf#page=2","A-2 p.2 l.33")</f>
        <v>A-2 p.2 l.33</v>
      </c>
    </row>
    <row r="125">
      <c r="A125" s="2">
        <v>46204</v>
      </c>
      <c r="B125" s="0" t="inlineStr">
        <is>
          <t xml:space="preserve">STRIPE TRANSFER</t>
        </is>
      </c>
      <c r="C125" s="3">
        <v>4837.04</v>
      </c>
      <c r="E125" s="3">
        <v>4837.04</v>
      </c>
      <c r="F125" s="3">
        <v>17127.25</v>
      </c>
      <c r="H125" s="0" t="inlineStr">
        <is>
          <t xml:space="preserve">Meridian Commerce Bank ····3202</t>
        </is>
      </c>
      <c r="I125" s="0" t="str">
        <f>HYPERLINK("apex-statement-2026-07.pdf#page=1","A-3 p.1 l.1")</f>
        <v>A-3 p.1 l.1</v>
      </c>
    </row>
    <row r="126">
      <c r="A126" s="2">
        <v>46204</v>
      </c>
      <c r="B126" s="0" t="inlineStr">
        <is>
          <t xml:space="preserve">ACH DEBIT ONDECK CAPITAL REMIT</t>
        </is>
      </c>
      <c r="C126" s="3">
        <v>-312.0</v>
      </c>
      <c r="D126" s="3">
        <v>312.0</v>
      </c>
      <c r="F126" s="3">
        <v>16815.25</v>
      </c>
      <c r="H126" s="0" t="inlineStr">
        <is>
          <t xml:space="preserve">Meridian Commerce Bank ····3202</t>
        </is>
      </c>
      <c r="I126" s="0" t="str">
        <f>HYPERLINK("apex-statement-2026-07.pdf#page=1","A-3 p.1 l.2")</f>
        <v>A-3 p.1 l.2</v>
      </c>
    </row>
    <row r="127">
      <c r="A127" s="2">
        <v>46204</v>
      </c>
      <c r="B127" s="0" t="inlineStr">
        <is>
          <t xml:space="preserve">POS PURCHASE VERIZON WIRELESS</t>
        </is>
      </c>
      <c r="C127" s="3">
        <v>-1694.45</v>
      </c>
      <c r="D127" s="3">
        <v>1694.45</v>
      </c>
      <c r="F127" s="3">
        <v>15120.8</v>
      </c>
      <c r="H127" s="0" t="inlineStr">
        <is>
          <t xml:space="preserve">Meridian Commerce Bank ····3202</t>
        </is>
      </c>
      <c r="I127" s="0" t="str">
        <f>HYPERLINK("apex-statement-2026-07.pdf#page=1","A-3 p.1 l.3")</f>
        <v>A-3 p.1 l.3</v>
      </c>
    </row>
    <row r="128">
      <c r="A128" s="2">
        <v>46204</v>
      </c>
      <c r="B128" s="0" t="inlineStr">
        <is>
          <t xml:space="preserve">ACH DEBIT KESTREL INDUSTRIAL PARK</t>
        </is>
      </c>
      <c r="C128" s="3">
        <v>-3875.0</v>
      </c>
      <c r="D128" s="3">
        <v>3875.0</v>
      </c>
      <c r="F128" s="3">
        <v>11245.8</v>
      </c>
      <c r="H128" s="0" t="inlineStr">
        <is>
          <t xml:space="preserve">Meridian Commerce Bank ····3202</t>
        </is>
      </c>
      <c r="I128" s="0" t="str">
        <f>HYPERLINK("apex-statement-2026-07.pdf#page=1","A-3 p.1 l.4")</f>
        <v>A-3 p.1 l.4</v>
      </c>
    </row>
    <row r="129">
      <c r="A129" s="2">
        <v>46205</v>
      </c>
      <c r="B129" s="0" t="inlineStr">
        <is>
          <t xml:space="preserve">ACH DEBIT ONDECK CAPITAL REMIT</t>
        </is>
      </c>
      <c r="C129" s="3">
        <v>-312.0</v>
      </c>
      <c r="D129" s="3">
        <v>312.0</v>
      </c>
      <c r="F129" s="3">
        <v>10933.8</v>
      </c>
      <c r="H129" s="0" t="inlineStr">
        <is>
          <t xml:space="preserve">Meridian Commerce Bank ····3202</t>
        </is>
      </c>
      <c r="I129" s="0" t="str">
        <f>HYPERLINK("apex-statement-2026-07.pdf#page=1","A-3 p.1 l.5")</f>
        <v>A-3 p.1 l.5</v>
      </c>
    </row>
    <row r="130">
      <c r="A130" s="2">
        <v>46205</v>
      </c>
      <c r="B130" s="0" t="inlineStr">
        <is>
          <t xml:space="preserve">POS PURCHASE SHELL OIL</t>
        </is>
      </c>
      <c r="C130" s="3">
        <v>-1051.13</v>
      </c>
      <c r="D130" s="3">
        <v>1051.13</v>
      </c>
      <c r="F130" s="3">
        <v>9882.67</v>
      </c>
      <c r="H130" s="0" t="inlineStr">
        <is>
          <t xml:space="preserve">Meridian Commerce Bank ····3202</t>
        </is>
      </c>
      <c r="I130" s="0" t="str">
        <f>HYPERLINK("apex-statement-2026-07.pdf#page=1","A-3 p.1 l.6")</f>
        <v>A-3 p.1 l.6</v>
      </c>
    </row>
    <row r="131">
      <c r="A131" s="2">
        <v>46205</v>
      </c>
      <c r="B131" s="0" t="inlineStr">
        <is>
          <t xml:space="preserve">ACH DEBIT VADER MOUNTAIN CAP REMIT</t>
        </is>
      </c>
      <c r="C131" s="3">
        <v>-1850.0</v>
      </c>
      <c r="D131" s="3">
        <v>1850.0</v>
      </c>
      <c r="F131" s="3">
        <v>8032.67</v>
      </c>
      <c r="H131" s="0" t="inlineStr">
        <is>
          <t xml:space="preserve">Meridian Commerce Bank ····3202</t>
        </is>
      </c>
      <c r="I131" s="0" t="str">
        <f>HYPERLINK("apex-statement-2026-07.pdf#page=1","A-3 p.1 l.7")</f>
        <v>A-3 p.1 l.7</v>
      </c>
    </row>
    <row r="132">
      <c r="A132" s="2">
        <v>46206</v>
      </c>
      <c r="B132" s="0" t="inlineStr">
        <is>
          <t xml:space="preserve">ZELLE CREDIT</t>
        </is>
      </c>
      <c r="C132" s="3">
        <v>4277.37</v>
      </c>
      <c r="E132" s="3">
        <v>4277.37</v>
      </c>
      <c r="F132" s="3">
        <v>12310.04</v>
      </c>
      <c r="H132" s="0" t="inlineStr">
        <is>
          <t xml:space="preserve">Meridian Commerce Bank ····3202</t>
        </is>
      </c>
      <c r="I132" s="0" t="str">
        <f>HYPERLINK("apex-statement-2026-07.pdf#page=1","A-3 p.1 l.8")</f>
        <v>A-3 p.1 l.8</v>
      </c>
    </row>
    <row r="133">
      <c r="A133" s="2">
        <v>46206</v>
      </c>
      <c r="B133" s="0" t="inlineStr">
        <is>
          <t xml:space="preserve">ACH DEBIT ONDECK CAPITAL REMIT</t>
        </is>
      </c>
      <c r="C133" s="3">
        <v>-312.0</v>
      </c>
      <c r="D133" s="3">
        <v>312.0</v>
      </c>
      <c r="F133" s="3">
        <v>11998.04</v>
      </c>
      <c r="H133" s="0" t="inlineStr">
        <is>
          <t xml:space="preserve">Meridian Commerce Bank ····3202</t>
        </is>
      </c>
      <c r="I133" s="0" t="str">
        <f>HYPERLINK("apex-statement-2026-07.pdf#page=1","A-3 p.1 l.9")</f>
        <v>A-3 p.1 l.9</v>
      </c>
    </row>
    <row r="134">
      <c r="A134" s="2">
        <v>46206</v>
      </c>
      <c r="B134" s="0" t="inlineStr">
        <is>
          <t xml:space="preserve">POS PURCHASE STATE FARM INS</t>
        </is>
      </c>
      <c r="C134" s="3">
        <v>-1786.58</v>
      </c>
      <c r="D134" s="3">
        <v>1786.58</v>
      </c>
      <c r="F134" s="3">
        <v>10211.46</v>
      </c>
      <c r="H134" s="0" t="inlineStr">
        <is>
          <t xml:space="preserve">Meridian Commerce Bank ····3202</t>
        </is>
      </c>
      <c r="I134" s="0" t="str">
        <f>HYPERLINK("apex-statement-2026-07.pdf#page=1","A-3 p.1 l.10")</f>
        <v>A-3 p.1 l.10</v>
      </c>
    </row>
    <row r="135">
      <c r="A135" s="2">
        <v>46208</v>
      </c>
      <c r="B135" s="0" t="inlineStr">
        <is>
          <t xml:space="preserve">POS PURCHASE GRAINGER</t>
        </is>
      </c>
      <c r="C135" s="3">
        <v>-725.28</v>
      </c>
      <c r="D135" s="3">
        <v>725.28</v>
      </c>
      <c r="F135" s="3">
        <v>9486.18</v>
      </c>
      <c r="H135" s="0" t="inlineStr">
        <is>
          <t xml:space="preserve">Meridian Commerce Bank ····3202</t>
        </is>
      </c>
      <c r="I135" s="0" t="str">
        <f>HYPERLINK("apex-statement-2026-07.pdf#page=1","A-3 p.1 l.11")</f>
        <v>A-3 p.1 l.11</v>
      </c>
    </row>
    <row r="136">
      <c r="A136" s="2">
        <v>46209</v>
      </c>
      <c r="B136" s="0" t="inlineStr">
        <is>
          <t xml:space="preserve">ONLINE TRANSFER FROM SAV ...7712</t>
        </is>
      </c>
      <c r="C136" s="3">
        <v>6046.78</v>
      </c>
      <c r="E136" s="3">
        <v>6046.78</v>
      </c>
      <c r="F136" s="3">
        <v>15532.96</v>
      </c>
      <c r="H136" s="0" t="inlineStr">
        <is>
          <t xml:space="preserve">Meridian Commerce Bank ····3202</t>
        </is>
      </c>
      <c r="I136" s="0" t="str">
        <f>HYPERLINK("apex-statement-2026-07.pdf#page=1","A-3 p.1 l.12")</f>
        <v>A-3 p.1 l.12</v>
      </c>
    </row>
    <row r="137">
      <c r="A137" s="2">
        <v>46209</v>
      </c>
      <c r="B137" s="0" t="inlineStr">
        <is>
          <t xml:space="preserve">COUNTER DEPOSIT</t>
        </is>
      </c>
      <c r="C137" s="3">
        <v>2718.0</v>
      </c>
      <c r="E137" s="3">
        <v>2718.0</v>
      </c>
      <c r="F137" s="3">
        <v>18250.96</v>
      </c>
      <c r="H137" s="0" t="inlineStr">
        <is>
          <t xml:space="preserve">Meridian Commerce Bank ····3202</t>
        </is>
      </c>
      <c r="I137" s="0" t="str">
        <f>HYPERLINK("apex-statement-2026-07.pdf#page=1","A-3 p.1 l.13")</f>
        <v>A-3 p.1 l.13</v>
      </c>
    </row>
    <row r="138">
      <c r="A138" s="2">
        <v>46209</v>
      </c>
      <c r="B138" s="0" t="inlineStr">
        <is>
          <t xml:space="preserve">ACH DEBIT ONDECK CAPITAL REMIT</t>
        </is>
      </c>
      <c r="C138" s="3">
        <v>-312.0</v>
      </c>
      <c r="D138" s="3">
        <v>312.0</v>
      </c>
      <c r="F138" s="3">
        <v>17938.96</v>
      </c>
      <c r="H138" s="0" t="inlineStr">
        <is>
          <t xml:space="preserve">Meridian Commerce Bank ····3202</t>
        </is>
      </c>
      <c r="I138" s="0" t="str">
        <f>HYPERLINK("apex-statement-2026-07.pdf#page=1","A-3 p.1 l.14")</f>
        <v>A-3 p.1 l.14</v>
      </c>
    </row>
    <row r="139">
      <c r="A139" s="2">
        <v>46209</v>
      </c>
      <c r="B139" s="0" t="inlineStr">
        <is>
          <t xml:space="preserve">POS PURCHASE SHELL OIL</t>
        </is>
      </c>
      <c r="C139" s="3">
        <v>-1644.09</v>
      </c>
      <c r="D139" s="3">
        <v>1644.09</v>
      </c>
      <c r="F139" s="3">
        <v>16294.87</v>
      </c>
      <c r="H139" s="0" t="inlineStr">
        <is>
          <t xml:space="preserve">Meridian Commerce Bank ····3202</t>
        </is>
      </c>
      <c r="I139" s="0" t="str">
        <f>HYPERLINK("apex-statement-2026-07.pdf#page=1","A-3 p.1 l.15")</f>
        <v>A-3 p.1 l.15</v>
      </c>
    </row>
    <row r="140">
      <c r="A140" s="2">
        <v>46209</v>
      </c>
      <c r="B140" s="0" t="inlineStr">
        <is>
          <t xml:space="preserve">POS PURCHASE SHELL OIL</t>
        </is>
      </c>
      <c r="C140" s="3">
        <v>-1815.01</v>
      </c>
      <c r="D140" s="3">
        <v>1815.01</v>
      </c>
      <c r="F140" s="3">
        <v>14479.86</v>
      </c>
      <c r="H140" s="0" t="inlineStr">
        <is>
          <t xml:space="preserve">Meridian Commerce Bank ····3202</t>
        </is>
      </c>
      <c r="I140" s="0" t="str">
        <f>HYPERLINK("apex-statement-2026-07.pdf#page=1","A-3 p.1 l.16")</f>
        <v>A-3 p.1 l.16</v>
      </c>
    </row>
    <row r="141">
      <c r="A141" s="2">
        <v>46210</v>
      </c>
      <c r="B141" s="0" t="inlineStr">
        <is>
          <t xml:space="preserve">ZELLE CREDIT</t>
        </is>
      </c>
      <c r="C141" s="3">
        <v>3956.24</v>
      </c>
      <c r="E141" s="3">
        <v>3956.24</v>
      </c>
      <c r="F141" s="3">
        <v>18436.1</v>
      </c>
      <c r="H141" s="0" t="inlineStr">
        <is>
          <t xml:space="preserve">Meridian Commerce Bank ····3202</t>
        </is>
      </c>
      <c r="I141" s="0" t="str">
        <f>HYPERLINK("apex-statement-2026-07.pdf#page=1","A-3 p.1 l.17")</f>
        <v>A-3 p.1 l.17</v>
      </c>
    </row>
    <row r="142">
      <c r="A142" s="2">
        <v>46210</v>
      </c>
      <c r="B142" s="0" t="inlineStr">
        <is>
          <t xml:space="preserve">NSF RETURN ITEM FEE</t>
        </is>
      </c>
      <c r="C142" s="3">
        <v>-35.0</v>
      </c>
      <c r="D142" s="3">
        <v>35.0</v>
      </c>
      <c r="F142" s="3">
        <v>18401.1</v>
      </c>
      <c r="H142" s="0" t="inlineStr">
        <is>
          <t xml:space="preserve">Meridian Commerce Bank ····3202</t>
        </is>
      </c>
      <c r="I142" s="0" t="str">
        <f>HYPERLINK("apex-statement-2026-07.pdf#page=1","A-3 p.1 l.18")</f>
        <v>A-3 p.1 l.18</v>
      </c>
    </row>
    <row r="143">
      <c r="A143" s="2">
        <v>46210</v>
      </c>
      <c r="B143" s="0" t="inlineStr">
        <is>
          <t xml:space="preserve">RETURNED ITEM - INSUFFICIENT FUNDS</t>
        </is>
      </c>
      <c r="C143" s="3">
        <v>-297.94</v>
      </c>
      <c r="D143" s="3">
        <v>297.94</v>
      </c>
      <c r="F143" s="3">
        <v>18103.16</v>
      </c>
      <c r="H143" s="0" t="inlineStr">
        <is>
          <t xml:space="preserve">Meridian Commerce Bank ····3202</t>
        </is>
      </c>
      <c r="I143" s="0" t="str">
        <f>HYPERLINK("apex-statement-2026-07.pdf#page=1","A-3 p.1 l.19")</f>
        <v>A-3 p.1 l.19</v>
      </c>
    </row>
    <row r="144">
      <c r="A144" s="2">
        <v>46210</v>
      </c>
      <c r="B144" s="0" t="inlineStr">
        <is>
          <t xml:space="preserve">ACH DEBIT ONDECK CAPITAL REMIT</t>
        </is>
      </c>
      <c r="C144" s="3">
        <v>-312.0</v>
      </c>
      <c r="D144" s="3">
        <v>312.0</v>
      </c>
      <c r="F144" s="3">
        <v>17791.16</v>
      </c>
      <c r="H144" s="0" t="inlineStr">
        <is>
          <t xml:space="preserve">Meridian Commerce Bank ····3202</t>
        </is>
      </c>
      <c r="I144" s="0" t="str">
        <f>HYPERLINK("apex-statement-2026-07.pdf#page=1","A-3 p.1 l.20")</f>
        <v>A-3 p.1 l.20</v>
      </c>
    </row>
    <row r="145">
      <c r="A145" s="2">
        <v>46211</v>
      </c>
      <c r="B145" s="0" t="inlineStr">
        <is>
          <t xml:space="preserve">ACH DEBIT ONDECK CAPITAL REMIT</t>
        </is>
      </c>
      <c r="C145" s="3">
        <v>-312.0</v>
      </c>
      <c r="D145" s="3">
        <v>312.0</v>
      </c>
      <c r="F145" s="3">
        <v>17479.16</v>
      </c>
      <c r="H145" s="0" t="inlineStr">
        <is>
          <t xml:space="preserve">Meridian Commerce Bank ····3202</t>
        </is>
      </c>
      <c r="I145" s="0" t="str">
        <f>HYPERLINK("apex-statement-2026-07.pdf#page=1","A-3 p.1 l.21")</f>
        <v>A-3 p.1 l.21</v>
      </c>
    </row>
    <row r="146">
      <c r="A146" s="2">
        <v>46211</v>
      </c>
      <c r="B146" s="0" t="inlineStr">
        <is>
          <t xml:space="preserve">ADP WAGE PAY 00195</t>
        </is>
      </c>
      <c r="C146" s="3">
        <v>-6240.75</v>
      </c>
      <c r="D146" s="3">
        <v>6240.75</v>
      </c>
      <c r="F146" s="3">
        <v>11238.41</v>
      </c>
      <c r="H146" s="0" t="inlineStr">
        <is>
          <t xml:space="preserve">Meridian Commerce Bank ····3202</t>
        </is>
      </c>
      <c r="I146" s="0" t="str">
        <f>HYPERLINK("apex-statement-2026-07.pdf#page=1","A-3 p.1 l.22")</f>
        <v>A-3 p.1 l.22</v>
      </c>
    </row>
    <row r="147">
      <c r="A147" s="2">
        <v>46212</v>
      </c>
      <c r="B147" s="0" t="inlineStr">
        <is>
          <t xml:space="preserve">STRIPE TRANSFER</t>
        </is>
      </c>
      <c r="C147" s="3">
        <v>3964.43</v>
      </c>
      <c r="E147" s="3">
        <v>3964.43</v>
      </c>
      <c r="F147" s="3">
        <v>15202.84</v>
      </c>
      <c r="H147" s="0" t="inlineStr">
        <is>
          <t xml:space="preserve">Meridian Commerce Bank ····3202</t>
        </is>
      </c>
      <c r="I147" s="0" t="str">
        <f>HYPERLINK("apex-statement-2026-07.pdf#page=1","A-3 p.1 l.23")</f>
        <v>A-3 p.1 l.23</v>
      </c>
    </row>
    <row r="148">
      <c r="A148" s="2">
        <v>46212</v>
      </c>
      <c r="B148" s="0" t="inlineStr">
        <is>
          <t xml:space="preserve">NSF RETURN ITEM FEE</t>
        </is>
      </c>
      <c r="C148" s="3">
        <v>-35.0</v>
      </c>
      <c r="D148" s="3">
        <v>35.0</v>
      </c>
      <c r="F148" s="3">
        <v>15167.84</v>
      </c>
      <c r="H148" s="0" t="inlineStr">
        <is>
          <t xml:space="preserve">Meridian Commerce Bank ····3202</t>
        </is>
      </c>
      <c r="I148" s="0" t="str">
        <f>HYPERLINK("apex-statement-2026-07.pdf#page=1","A-3 p.1 l.24")</f>
        <v>A-3 p.1 l.24</v>
      </c>
    </row>
    <row r="149">
      <c r="A149" s="2">
        <v>46212</v>
      </c>
      <c r="B149" s="0" t="inlineStr">
        <is>
          <t xml:space="preserve">ACH DEBIT ONDECK CAPITAL REMIT</t>
        </is>
      </c>
      <c r="C149" s="3">
        <v>-312.0</v>
      </c>
      <c r="D149" s="3">
        <v>312.0</v>
      </c>
      <c r="F149" s="3">
        <v>14855.84</v>
      </c>
      <c r="H149" s="0" t="inlineStr">
        <is>
          <t xml:space="preserve">Meridian Commerce Bank ····3202</t>
        </is>
      </c>
      <c r="I149" s="0" t="str">
        <f>HYPERLINK("apex-statement-2026-07.pdf#page=1","A-3 p.1 l.25")</f>
        <v>A-3 p.1 l.25</v>
      </c>
    </row>
    <row r="150">
      <c r="A150" s="2">
        <v>46212</v>
      </c>
      <c r="B150" s="0" t="inlineStr">
        <is>
          <t xml:space="preserve">RETURNED ITEM - INSUFFICIENT FUNDS</t>
        </is>
      </c>
      <c r="C150" s="3">
        <v>-644.84</v>
      </c>
      <c r="D150" s="3">
        <v>644.84</v>
      </c>
      <c r="F150" s="3">
        <v>14211.0</v>
      </c>
      <c r="H150" s="0" t="inlineStr">
        <is>
          <t xml:space="preserve">Meridian Commerce Bank ····3202</t>
        </is>
      </c>
      <c r="I150" s="0" t="str">
        <f>HYPERLINK("apex-statement-2026-07.pdf#page=1","A-3 p.1 l.26")</f>
        <v>A-3 p.1 l.26</v>
      </c>
    </row>
    <row r="151">
      <c r="A151" s="2">
        <v>46212</v>
      </c>
      <c r="B151" s="0" t="inlineStr">
        <is>
          <t xml:space="preserve">ACH DEBIT VADER MOUNTAIN CAP REMIT</t>
        </is>
      </c>
      <c r="C151" s="3">
        <v>-1850.0</v>
      </c>
      <c r="D151" s="3">
        <v>1850.0</v>
      </c>
      <c r="F151" s="3">
        <v>12361.0</v>
      </c>
      <c r="H151" s="0" t="inlineStr">
        <is>
          <t xml:space="preserve">Meridian Commerce Bank ····3202</t>
        </is>
      </c>
      <c r="I151" s="0" t="str">
        <f>HYPERLINK("apex-statement-2026-07.pdf#page=1","A-3 p.1 l.27")</f>
        <v>A-3 p.1 l.27</v>
      </c>
    </row>
    <row r="152">
      <c r="A152" s="2">
        <v>46213</v>
      </c>
      <c r="B152" s="0" t="inlineStr">
        <is>
          <t xml:space="preserve">ACH DEBIT ONDECK CAPITAL REMIT</t>
        </is>
      </c>
      <c r="C152" s="3">
        <v>-312.0</v>
      </c>
      <c r="D152" s="3">
        <v>312.0</v>
      </c>
      <c r="F152" s="3">
        <v>12049.0</v>
      </c>
      <c r="H152" s="0" t="inlineStr">
        <is>
          <t xml:space="preserve">Meridian Commerce Bank ····3202</t>
        </is>
      </c>
      <c r="I152" s="0" t="str">
        <f>HYPERLINK("apex-statement-2026-07.pdf#page=1","A-3 p.1 l.28")</f>
        <v>A-3 p.1 l.28</v>
      </c>
    </row>
    <row r="153">
      <c r="A153" s="2">
        <v>46216</v>
      </c>
      <c r="B153" s="0" t="inlineStr">
        <is>
          <t xml:space="preserve">ACH DEBIT ONDECK CAPITAL REMIT</t>
        </is>
      </c>
      <c r="C153" s="3">
        <v>-312.0</v>
      </c>
      <c r="D153" s="3">
        <v>312.0</v>
      </c>
      <c r="F153" s="3">
        <v>11737.0</v>
      </c>
      <c r="H153" s="0" t="inlineStr">
        <is>
          <t xml:space="preserve">Meridian Commerce Bank ····3202</t>
        </is>
      </c>
      <c r="I153" s="0" t="str">
        <f>HYPERLINK("apex-statement-2026-07.pdf#page=1","A-3 p.1 l.29")</f>
        <v>A-3 p.1 l.29</v>
      </c>
    </row>
    <row r="154">
      <c r="A154" s="2">
        <v>46217</v>
      </c>
      <c r="B154" s="0" t="inlineStr">
        <is>
          <t xml:space="preserve">ACH DEBIT ONDECK CAPITAL REMIT</t>
        </is>
      </c>
      <c r="C154" s="3">
        <v>-312.0</v>
      </c>
      <c r="D154" s="3">
        <v>312.0</v>
      </c>
      <c r="F154" s="3">
        <v>11425.0</v>
      </c>
      <c r="H154" s="0" t="inlineStr">
        <is>
          <t xml:space="preserve">Meridian Commerce Bank ····3202</t>
        </is>
      </c>
      <c r="I154" s="0" t="str">
        <f>HYPERLINK("apex-statement-2026-07.pdf#page=1","A-3 p.1 l.30")</f>
        <v>A-3 p.1 l.30</v>
      </c>
    </row>
    <row r="155">
      <c r="A155" s="2">
        <v>46218</v>
      </c>
      <c r="B155" s="0" t="inlineStr">
        <is>
          <t xml:space="preserve">ZELLE CREDIT</t>
        </is>
      </c>
      <c r="C155" s="3">
        <v>3409.32</v>
      </c>
      <c r="E155" s="3">
        <v>3409.32</v>
      </c>
      <c r="F155" s="3">
        <v>14834.32</v>
      </c>
      <c r="H155" s="0" t="inlineStr">
        <is>
          <t xml:space="preserve">Meridian Commerce Bank ····3202</t>
        </is>
      </c>
      <c r="I155" s="0" t="str">
        <f>HYPERLINK("apex-statement-2026-07.pdf#page=1","A-3 p.1 l.31")</f>
        <v>A-3 p.1 l.31</v>
      </c>
    </row>
    <row r="156">
      <c r="A156" s="2">
        <v>46218</v>
      </c>
      <c r="B156" s="0" t="inlineStr">
        <is>
          <t xml:space="preserve">ACH DEBIT ONDECK CAPITAL REMIT</t>
        </is>
      </c>
      <c r="C156" s="3">
        <v>-312.0</v>
      </c>
      <c r="D156" s="3">
        <v>312.0</v>
      </c>
      <c r="F156" s="3">
        <v>14522.32</v>
      </c>
      <c r="H156" s="0" t="inlineStr">
        <is>
          <t xml:space="preserve">Meridian Commerce Bank ····3202</t>
        </is>
      </c>
      <c r="I156" s="0" t="str">
        <f>HYPERLINK("apex-statement-2026-07.pdf#page=1","A-3 p.1 l.32")</f>
        <v>A-3 p.1 l.32</v>
      </c>
    </row>
    <row r="157">
      <c r="A157" s="2">
        <v>46219</v>
      </c>
      <c r="B157" s="0" t="inlineStr">
        <is>
          <t xml:space="preserve">ACH DEBIT ONDECK CAPITAL REMIT</t>
        </is>
      </c>
      <c r="C157" s="3">
        <v>-312.0</v>
      </c>
      <c r="D157" s="3">
        <v>312.0</v>
      </c>
      <c r="F157" s="3">
        <v>14210.32</v>
      </c>
      <c r="H157" s="0" t="inlineStr">
        <is>
          <t xml:space="preserve">Meridian Commerce Bank ····3202</t>
        </is>
      </c>
      <c r="I157" s="0" t="str">
        <f>HYPERLINK("apex-statement-2026-07.pdf#page=2","A-3 p.2 l.1")</f>
        <v>A-3 p.2 l.1</v>
      </c>
    </row>
    <row r="158">
      <c r="A158" s="2">
        <v>46219</v>
      </c>
      <c r="B158" s="0" t="inlineStr">
        <is>
          <t xml:space="preserve">ACH DEBIT VADER MOUNTAIN CAP REMIT</t>
        </is>
      </c>
      <c r="C158" s="3">
        <v>-1850.0</v>
      </c>
      <c r="D158" s="3">
        <v>1850.0</v>
      </c>
      <c r="F158" s="3">
        <v>12360.32</v>
      </c>
      <c r="H158" s="0" t="inlineStr">
        <is>
          <t xml:space="preserve">Meridian Commerce Bank ····3202</t>
        </is>
      </c>
      <c r="I158" s="0" t="str">
        <f>HYPERLINK("apex-statement-2026-07.pdf#page=2","A-3 p.2 l.2")</f>
        <v>A-3 p.2 l.2</v>
      </c>
    </row>
    <row r="159">
      <c r="A159" s="2">
        <v>46220</v>
      </c>
      <c r="B159" s="0" t="inlineStr">
        <is>
          <t xml:space="preserve">NSF RETURN ITEM FEE</t>
        </is>
      </c>
      <c r="C159" s="3">
        <v>-35.0</v>
      </c>
      <c r="D159" s="3">
        <v>35.0</v>
      </c>
      <c r="F159" s="3">
        <v>12325.32</v>
      </c>
      <c r="H159" s="0" t="inlineStr">
        <is>
          <t xml:space="preserve">Meridian Commerce Bank ····3202</t>
        </is>
      </c>
      <c r="I159" s="0" t="str">
        <f>HYPERLINK("apex-statement-2026-07.pdf#page=2","A-3 p.2 l.3")</f>
        <v>A-3 p.2 l.3</v>
      </c>
    </row>
    <row r="160">
      <c r="A160" s="2">
        <v>46220</v>
      </c>
      <c r="B160" s="0" t="inlineStr">
        <is>
          <t xml:space="preserve">RETURNED ITEM - INSUFFICIENT FUNDS</t>
        </is>
      </c>
      <c r="C160" s="3">
        <v>-258.51</v>
      </c>
      <c r="D160" s="3">
        <v>258.51</v>
      </c>
      <c r="F160" s="3">
        <v>12066.81</v>
      </c>
      <c r="H160" s="0" t="inlineStr">
        <is>
          <t xml:space="preserve">Meridian Commerce Bank ····3202</t>
        </is>
      </c>
      <c r="I160" s="0" t="str">
        <f>HYPERLINK("apex-statement-2026-07.pdf#page=2","A-3 p.2 l.4")</f>
        <v>A-3 p.2 l.4</v>
      </c>
    </row>
    <row r="161">
      <c r="A161" s="2">
        <v>46220</v>
      </c>
      <c r="B161" s="0" t="inlineStr">
        <is>
          <t xml:space="preserve">ACH DEBIT ONDECK CAPITAL REMIT</t>
        </is>
      </c>
      <c r="C161" s="3">
        <v>-312.0</v>
      </c>
      <c r="D161" s="3">
        <v>312.0</v>
      </c>
      <c r="F161" s="3">
        <v>11754.81</v>
      </c>
      <c r="H161" s="0" t="inlineStr">
        <is>
          <t xml:space="preserve">Meridian Commerce Bank ····3202</t>
        </is>
      </c>
      <c r="I161" s="0" t="str">
        <f>HYPERLINK("apex-statement-2026-07.pdf#page=2","A-3 p.2 l.5")</f>
        <v>A-3 p.2 l.5</v>
      </c>
    </row>
    <row r="162">
      <c r="A162" s="2">
        <v>46220</v>
      </c>
      <c r="B162" s="0" t="inlineStr">
        <is>
          <t xml:space="preserve">POS PURCHASE STATE FARM INS</t>
        </is>
      </c>
      <c r="C162" s="3">
        <v>-1787.7</v>
      </c>
      <c r="D162" s="3">
        <v>1787.7</v>
      </c>
      <c r="F162" s="3">
        <v>9967.11</v>
      </c>
      <c r="H162" s="0" t="inlineStr">
        <is>
          <t xml:space="preserve">Meridian Commerce Bank ····3202</t>
        </is>
      </c>
      <c r="I162" s="0" t="str">
        <f>HYPERLINK("apex-statement-2026-07.pdf#page=2","A-3 p.2 l.6")</f>
        <v>A-3 p.2 l.6</v>
      </c>
    </row>
    <row r="163">
      <c r="A163" s="2">
        <v>46223</v>
      </c>
      <c r="B163" s="0" t="inlineStr">
        <is>
          <t xml:space="preserve">ACH DEBIT ONDECK CAPITAL REMIT</t>
        </is>
      </c>
      <c r="C163" s="3">
        <v>-312.0</v>
      </c>
      <c r="D163" s="3">
        <v>312.0</v>
      </c>
      <c r="F163" s="3">
        <v>9655.11</v>
      </c>
      <c r="H163" s="0" t="inlineStr">
        <is>
          <t xml:space="preserve">Meridian Commerce Bank ····3202</t>
        </is>
      </c>
      <c r="I163" s="0" t="str">
        <f>HYPERLINK("apex-statement-2026-07.pdf#page=2","A-3 p.2 l.7")</f>
        <v>A-3 p.2 l.7</v>
      </c>
    </row>
    <row r="164">
      <c r="A164" s="2">
        <v>46224</v>
      </c>
      <c r="B164" s="0" t="inlineStr">
        <is>
          <t xml:space="preserve">ACH DEBIT ONDECK CAPITAL REMIT</t>
        </is>
      </c>
      <c r="C164" s="3">
        <v>-312.0</v>
      </c>
      <c r="D164" s="3">
        <v>312.0</v>
      </c>
      <c r="F164" s="3">
        <v>9343.11</v>
      </c>
      <c r="H164" s="0" t="inlineStr">
        <is>
          <t xml:space="preserve">Meridian Commerce Bank ····3202</t>
        </is>
      </c>
      <c r="I164" s="0" t="str">
        <f>HYPERLINK("apex-statement-2026-07.pdf#page=2","A-3 p.2 l.8")</f>
        <v>A-3 p.2 l.8</v>
      </c>
    </row>
    <row r="165">
      <c r="A165" s="2">
        <v>46225</v>
      </c>
      <c r="B165" s="0" t="inlineStr">
        <is>
          <t xml:space="preserve">ACH DEBIT ONDECK CAPITAL REMIT</t>
        </is>
      </c>
      <c r="C165" s="3">
        <v>-312.0</v>
      </c>
      <c r="D165" s="3">
        <v>312.0</v>
      </c>
      <c r="F165" s="3">
        <v>9031.11</v>
      </c>
      <c r="H165" s="0" t="inlineStr">
        <is>
          <t xml:space="preserve">Meridian Commerce Bank ····3202</t>
        </is>
      </c>
      <c r="I165" s="0" t="str">
        <f>HYPERLINK("apex-statement-2026-07.pdf#page=2","A-3 p.2 l.9")</f>
        <v>A-3 p.2 l.9</v>
      </c>
    </row>
    <row r="166">
      <c r="A166" s="2">
        <v>46225</v>
      </c>
      <c r="B166" s="0" t="inlineStr">
        <is>
          <t xml:space="preserve">POS PURCHASE O REILLY AUTO</t>
        </is>
      </c>
      <c r="C166" s="3">
        <v>-502.89</v>
      </c>
      <c r="D166" s="3">
        <v>502.89</v>
      </c>
      <c r="F166" s="3">
        <v>8528.22</v>
      </c>
      <c r="H166" s="0" t="inlineStr">
        <is>
          <t xml:space="preserve">Meridian Commerce Bank ····3202</t>
        </is>
      </c>
      <c r="I166" s="0" t="str">
        <f>HYPERLINK("apex-statement-2026-07.pdf#page=2","A-3 p.2 l.10")</f>
        <v>A-3 p.2 l.10</v>
      </c>
    </row>
    <row r="167">
      <c r="A167" s="2">
        <v>46225</v>
      </c>
      <c r="B167" s="0" t="inlineStr">
        <is>
          <t xml:space="preserve">ADP WAGE PAY 00196</t>
        </is>
      </c>
      <c r="C167" s="3">
        <v>-6240.75</v>
      </c>
      <c r="D167" s="3">
        <v>6240.75</v>
      </c>
      <c r="F167" s="3">
        <v>2287.47</v>
      </c>
      <c r="H167" s="0" t="inlineStr">
        <is>
          <t xml:space="preserve">Meridian Commerce Bank ····3202</t>
        </is>
      </c>
      <c r="I167" s="0" t="str">
        <f>HYPERLINK("apex-statement-2026-07.pdf#page=2","A-3 p.2 l.11")</f>
        <v>A-3 p.2 l.11</v>
      </c>
    </row>
    <row r="168">
      <c r="A168" s="2">
        <v>46226</v>
      </c>
      <c r="B168" s="0" t="inlineStr">
        <is>
          <t xml:space="preserve">NSF RETURN ITEM FEE</t>
        </is>
      </c>
      <c r="C168" s="3">
        <v>-35.0</v>
      </c>
      <c r="D168" s="3">
        <v>35.0</v>
      </c>
      <c r="F168" s="3">
        <v>2252.47</v>
      </c>
      <c r="H168" s="0" t="inlineStr">
        <is>
          <t xml:space="preserve">Meridian Commerce Bank ····3202</t>
        </is>
      </c>
      <c r="I168" s="0" t="str">
        <f>HYPERLINK("apex-statement-2026-07.pdf#page=2","A-3 p.2 l.12")</f>
        <v>A-3 p.2 l.12</v>
      </c>
    </row>
    <row r="169">
      <c r="A169" s="2">
        <v>46226</v>
      </c>
      <c r="B169" s="0" t="inlineStr">
        <is>
          <t xml:space="preserve">ACH DEBIT ONDECK CAPITAL REMIT</t>
        </is>
      </c>
      <c r="C169" s="3">
        <v>-312.0</v>
      </c>
      <c r="D169" s="3">
        <v>312.0</v>
      </c>
      <c r="F169" s="3">
        <v>1940.47</v>
      </c>
      <c r="H169" s="0" t="inlineStr">
        <is>
          <t xml:space="preserve">Meridian Commerce Bank ····3202</t>
        </is>
      </c>
      <c r="I169" s="0" t="str">
        <f>HYPERLINK("apex-statement-2026-07.pdf#page=2","A-3 p.2 l.13")</f>
        <v>A-3 p.2 l.13</v>
      </c>
    </row>
    <row r="170">
      <c r="A170" s="2">
        <v>46226</v>
      </c>
      <c r="B170" s="0" t="inlineStr">
        <is>
          <t xml:space="preserve">RETURNED ITEM - INSUFFICIENT FUNDS</t>
        </is>
      </c>
      <c r="C170" s="3">
        <v>-439.54</v>
      </c>
      <c r="D170" s="3">
        <v>439.54</v>
      </c>
      <c r="F170" s="3">
        <v>1500.93</v>
      </c>
      <c r="H170" s="0" t="inlineStr">
        <is>
          <t xml:space="preserve">Meridian Commerce Bank ····3202</t>
        </is>
      </c>
      <c r="I170" s="0" t="str">
        <f>HYPERLINK("apex-statement-2026-07.pdf#page=2","A-3 p.2 l.14")</f>
        <v>A-3 p.2 l.14</v>
      </c>
    </row>
    <row r="171">
      <c r="A171" s="2">
        <v>46226</v>
      </c>
      <c r="B171" s="0" t="inlineStr">
        <is>
          <t xml:space="preserve">ACH DEBIT VADER MOUNTAIN CAP REMIT</t>
        </is>
      </c>
      <c r="C171" s="3">
        <v>-1850.0</v>
      </c>
      <c r="D171" s="3">
        <v>1850.0</v>
      </c>
      <c r="F171" s="3">
        <v>-349.07</v>
      </c>
      <c r="H171" s="0" t="inlineStr">
        <is>
          <t xml:space="preserve">Meridian Commerce Bank ····3202</t>
        </is>
      </c>
      <c r="I171" s="0" t="str">
        <f>HYPERLINK("apex-statement-2026-07.pdf#page=2","A-3 p.2 l.15")</f>
        <v>A-3 p.2 l.15</v>
      </c>
    </row>
    <row r="172">
      <c r="A172" s="2">
        <v>46226</v>
      </c>
      <c r="B172" s="0" t="inlineStr">
        <is>
          <t xml:space="preserve">POS PURCHASE GRAINGER</t>
        </is>
      </c>
      <c r="C172" s="3">
        <v>-1925.61</v>
      </c>
      <c r="D172" s="3">
        <v>1925.61</v>
      </c>
      <c r="F172" s="3">
        <v>-2274.68</v>
      </c>
      <c r="H172" s="0" t="inlineStr">
        <is>
          <t xml:space="preserve">Meridian Commerce Bank ····3202</t>
        </is>
      </c>
      <c r="I172" s="0" t="str">
        <f>HYPERLINK("apex-statement-2026-07.pdf#page=2","A-3 p.2 l.16")</f>
        <v>A-3 p.2 l.16</v>
      </c>
    </row>
    <row r="173">
      <c r="A173" s="2">
        <v>46227</v>
      </c>
      <c r="B173" s="0" t="inlineStr">
        <is>
          <t xml:space="preserve">ZELLE CREDIT</t>
        </is>
      </c>
      <c r="C173" s="3">
        <v>4677.97</v>
      </c>
      <c r="E173" s="3">
        <v>4677.97</v>
      </c>
      <c r="F173" s="3">
        <v>2403.29</v>
      </c>
      <c r="H173" s="0" t="inlineStr">
        <is>
          <t xml:space="preserve">Meridian Commerce Bank ····3202</t>
        </is>
      </c>
      <c r="I173" s="0" t="str">
        <f>HYPERLINK("apex-statement-2026-07.pdf#page=2","A-3 p.2 l.17")</f>
        <v>A-3 p.2 l.17</v>
      </c>
    </row>
    <row r="174">
      <c r="A174" s="2">
        <v>46227</v>
      </c>
      <c r="B174" s="0" t="inlineStr">
        <is>
          <t xml:space="preserve">ACH DEBIT ONDECK CAPITAL REMIT</t>
        </is>
      </c>
      <c r="C174" s="3">
        <v>-312.0</v>
      </c>
      <c r="D174" s="3">
        <v>312.0</v>
      </c>
      <c r="F174" s="3">
        <v>2091.29</v>
      </c>
      <c r="H174" s="0" t="inlineStr">
        <is>
          <t xml:space="preserve">Meridian Commerce Bank ····3202</t>
        </is>
      </c>
      <c r="I174" s="0" t="str">
        <f>HYPERLINK("apex-statement-2026-07.pdf#page=2","A-3 p.2 l.18")</f>
        <v>A-3 p.2 l.18</v>
      </c>
    </row>
    <row r="175">
      <c r="A175" s="2">
        <v>46230</v>
      </c>
      <c r="B175" s="0" t="inlineStr">
        <is>
          <t xml:space="preserve">ACH DEBIT ONDECK CAPITAL REMIT</t>
        </is>
      </c>
      <c r="C175" s="3">
        <v>-312.0</v>
      </c>
      <c r="D175" s="3">
        <v>312.0</v>
      </c>
      <c r="F175" s="3">
        <v>1779.29</v>
      </c>
      <c r="H175" s="0" t="inlineStr">
        <is>
          <t xml:space="preserve">Meridian Commerce Bank ····3202</t>
        </is>
      </c>
      <c r="I175" s="0" t="str">
        <f>HYPERLINK("apex-statement-2026-07.pdf#page=2","A-3 p.2 l.19")</f>
        <v>A-3 p.2 l.19</v>
      </c>
    </row>
    <row r="176">
      <c r="A176" s="2">
        <v>46230</v>
      </c>
      <c r="B176" s="0" t="inlineStr">
        <is>
          <t xml:space="preserve">POS PURCHASE GRAINGER</t>
        </is>
      </c>
      <c r="C176" s="3">
        <v>-930.65</v>
      </c>
      <c r="D176" s="3">
        <v>930.65</v>
      </c>
      <c r="F176" s="3">
        <v>848.64</v>
      </c>
      <c r="H176" s="0" t="inlineStr">
        <is>
          <t xml:space="preserve">Meridian Commerce Bank ····3202</t>
        </is>
      </c>
      <c r="I176" s="0" t="str">
        <f>HYPERLINK("apex-statement-2026-07.pdf#page=2","A-3 p.2 l.20")</f>
        <v>A-3 p.2 l.20</v>
      </c>
    </row>
    <row r="177">
      <c r="A177" s="2">
        <v>46231</v>
      </c>
      <c r="B177" s="0" t="inlineStr">
        <is>
          <t xml:space="preserve">ACH DEBIT ONDECK CAPITAL REMIT</t>
        </is>
      </c>
      <c r="C177" s="3">
        <v>-312.0</v>
      </c>
      <c r="D177" s="3">
        <v>312.0</v>
      </c>
      <c r="F177" s="3">
        <v>536.64</v>
      </c>
      <c r="H177" s="0" t="inlineStr">
        <is>
          <t xml:space="preserve">Meridian Commerce Bank ····3202</t>
        </is>
      </c>
      <c r="I177" s="0" t="str">
        <f>HYPERLINK("apex-statement-2026-07.pdf#page=2","A-3 p.2 l.21")</f>
        <v>A-3 p.2 l.21</v>
      </c>
    </row>
    <row r="178">
      <c r="A178" s="2">
        <v>46232</v>
      </c>
      <c r="B178" s="0" t="inlineStr">
        <is>
          <t xml:space="preserve">REMOTE DEPOSIT CAPTURE</t>
        </is>
      </c>
      <c r="C178" s="3">
        <v>3883.72</v>
      </c>
      <c r="E178" s="3">
        <v>3883.72</v>
      </c>
      <c r="F178" s="3">
        <v>4420.36</v>
      </c>
      <c r="H178" s="0" t="inlineStr">
        <is>
          <t xml:space="preserve">Meridian Commerce Bank ····3202</t>
        </is>
      </c>
      <c r="I178" s="0" t="str">
        <f>HYPERLINK("apex-statement-2026-07.pdf#page=2","A-3 p.2 l.22")</f>
        <v>A-3 p.2 l.22</v>
      </c>
    </row>
    <row r="179">
      <c r="A179" s="2">
        <v>46232</v>
      </c>
      <c r="B179" s="0" t="inlineStr">
        <is>
          <t xml:space="preserve">ONLINE TRANSFER FROM SAV ...7712</t>
        </is>
      </c>
      <c r="C179" s="3">
        <v>3452.44</v>
      </c>
      <c r="E179" s="3">
        <v>3452.44</v>
      </c>
      <c r="F179" s="3">
        <v>7872.8</v>
      </c>
      <c r="H179" s="0" t="inlineStr">
        <is>
          <t xml:space="preserve">Meridian Commerce Bank ····3202</t>
        </is>
      </c>
      <c r="I179" s="0" t="str">
        <f>HYPERLINK("apex-statement-2026-07.pdf#page=2","A-3 p.2 l.23")</f>
        <v>A-3 p.2 l.23</v>
      </c>
    </row>
    <row r="180">
      <c r="A180" s="2">
        <v>46232</v>
      </c>
      <c r="B180" s="0" t="inlineStr">
        <is>
          <t xml:space="preserve">ACH DEBIT ONDECK CAPITAL REMIT</t>
        </is>
      </c>
      <c r="C180" s="3">
        <v>-312.0</v>
      </c>
      <c r="D180" s="3">
        <v>312.0</v>
      </c>
      <c r="F180" s="3">
        <v>7560.8</v>
      </c>
      <c r="H180" s="0" t="inlineStr">
        <is>
          <t xml:space="preserve">Meridian Commerce Bank ····3202</t>
        </is>
      </c>
      <c r="I180" s="0" t="str">
        <f>HYPERLINK("apex-statement-2026-07.pdf#page=2","A-3 p.2 l.24")</f>
        <v>A-3 p.2 l.24</v>
      </c>
    </row>
    <row r="181">
      <c r="A181" s="2">
        <v>46232</v>
      </c>
      <c r="B181" s="0" t="inlineStr">
        <is>
          <t xml:space="preserve">POS PURCHASE VERIZON WIRELESS</t>
        </is>
      </c>
      <c r="C181" s="3">
        <v>-985.5</v>
      </c>
      <c r="D181" s="3">
        <v>985.5</v>
      </c>
      <c r="F181" s="3">
        <v>6575.3</v>
      </c>
      <c r="H181" s="0" t="inlineStr">
        <is>
          <t xml:space="preserve">Meridian Commerce Bank ····3202</t>
        </is>
      </c>
      <c r="I181" s="0" t="str">
        <f>HYPERLINK("apex-statement-2026-07.pdf#page=2","A-3 p.2 l.25")</f>
        <v>A-3 p.2 l.25</v>
      </c>
    </row>
    <row r="182">
      <c r="A182" s="2">
        <v>46233</v>
      </c>
      <c r="B182" s="0" t="inlineStr">
        <is>
          <t xml:space="preserve">COUNTER DEPOSIT</t>
        </is>
      </c>
      <c r="C182" s="3">
        <v>4512.35</v>
      </c>
      <c r="E182" s="3">
        <v>4512.35</v>
      </c>
      <c r="F182" s="3">
        <v>11087.65</v>
      </c>
      <c r="H182" s="0" t="inlineStr">
        <is>
          <t xml:space="preserve">Meridian Commerce Bank ····3202</t>
        </is>
      </c>
      <c r="I182" s="0" t="str">
        <f>HYPERLINK("apex-statement-2026-07.pdf#page=2","A-3 p.2 l.26")</f>
        <v>A-3 p.2 l.26</v>
      </c>
    </row>
    <row r="183">
      <c r="A183" s="2">
        <v>46233</v>
      </c>
      <c r="B183" s="0" t="inlineStr">
        <is>
          <t xml:space="preserve">ACH DEBIT ONDECK CAPITAL REMIT</t>
        </is>
      </c>
      <c r="C183" s="3">
        <v>-312.0</v>
      </c>
      <c r="D183" s="3">
        <v>312.0</v>
      </c>
      <c r="F183" s="3">
        <v>10775.65</v>
      </c>
      <c r="H183" s="0" t="inlineStr">
        <is>
          <t xml:space="preserve">Meridian Commerce Bank ····3202</t>
        </is>
      </c>
      <c r="I183" s="0" t="str">
        <f>HYPERLINK("apex-statement-2026-07.pdf#page=2","A-3 p.2 l.27")</f>
        <v>A-3 p.2 l.27</v>
      </c>
    </row>
    <row r="184">
      <c r="A184" s="2">
        <v>46233</v>
      </c>
      <c r="B184" s="0" t="inlineStr">
        <is>
          <t xml:space="preserve">ACH DEBIT VADER MOUNTAIN CAP REMIT</t>
        </is>
      </c>
      <c r="C184" s="3">
        <v>-1850.0</v>
      </c>
      <c r="D184" s="3">
        <v>1850.0</v>
      </c>
      <c r="F184" s="3">
        <v>8925.65</v>
      </c>
      <c r="H184" s="0" t="inlineStr">
        <is>
          <t xml:space="preserve">Meridian Commerce Bank ····3202</t>
        </is>
      </c>
      <c r="I184" s="0" t="str">
        <f>HYPERLINK("apex-statement-2026-07.pdf#page=2","A-3 p.2 l.28")</f>
        <v>A-3 p.2 l.28</v>
      </c>
    </row>
    <row r="185">
      <c r="A185" s="2">
        <v>46233</v>
      </c>
      <c r="B185" s="0" t="inlineStr">
        <is>
          <t xml:space="preserve">POS PURCHASE STATE FARM INS</t>
        </is>
      </c>
      <c r="C185" s="3">
        <v>-2252.23</v>
      </c>
      <c r="D185" s="3">
        <v>2252.23</v>
      </c>
      <c r="F185" s="3">
        <v>6673.42</v>
      </c>
      <c r="H185" s="0" t="inlineStr">
        <is>
          <t xml:space="preserve">Meridian Commerce Bank ····3202</t>
        </is>
      </c>
      <c r="I185" s="0" t="str">
        <f>HYPERLINK("apex-statement-2026-07.pdf#page=2","A-3 p.2 l.29")</f>
        <v>A-3 p.2 l.29</v>
      </c>
    </row>
    <row r="186">
      <c r="A186" s="2">
        <v>46234</v>
      </c>
      <c r="B186" s="0" t="inlineStr">
        <is>
          <t xml:space="preserve">ZELLE CREDIT</t>
        </is>
      </c>
      <c r="C186" s="3">
        <v>5628.26</v>
      </c>
      <c r="E186" s="3">
        <v>5628.26</v>
      </c>
      <c r="F186" s="3">
        <v>12301.68</v>
      </c>
      <c r="H186" s="0" t="inlineStr">
        <is>
          <t xml:space="preserve">Meridian Commerce Bank ····3202</t>
        </is>
      </c>
      <c r="I186" s="0" t="str">
        <f>HYPERLINK("apex-statement-2026-07.pdf#page=2","A-3 p.2 l.30")</f>
        <v>A-3 p.2 l.30</v>
      </c>
    </row>
    <row r="187">
      <c r="A187" s="2">
        <v>46234</v>
      </c>
      <c r="B187" s="0" t="inlineStr">
        <is>
          <t xml:space="preserve">ACH DEBIT ONDECK CAPITAL REMIT</t>
        </is>
      </c>
      <c r="C187" s="3">
        <v>-312.0</v>
      </c>
      <c r="D187" s="3">
        <v>312.0</v>
      </c>
      <c r="F187" s="3">
        <v>11989.68</v>
      </c>
      <c r="H187" s="0" t="inlineStr">
        <is>
          <t xml:space="preserve">Meridian Commerce Bank ····3202</t>
        </is>
      </c>
      <c r="I187" s="0" t="str">
        <f>HYPERLINK("apex-statement-2026-07.pdf#page=2","A-3 p.2 l.31")</f>
        <v>A-3 p.2 l.31</v>
      </c>
    </row>
    <row r="188">
      <c r="A188" s="2">
        <v>46143</v>
      </c>
      <c r="B188" s="0" t="inlineStr">
        <is>
          <t xml:space="preserve">COUNTER DEPOSIT</t>
        </is>
      </c>
      <c r="C188" s="3">
        <v>3471.93</v>
      </c>
      <c r="E188" s="3">
        <v>3471.93</v>
      </c>
      <c r="F188" s="3">
        <v>19271.93</v>
      </c>
      <c r="H188" s="0" t="inlineStr">
        <is>
          <t xml:space="preserve">Meridian Commerce Bank ····3303</t>
        </is>
      </c>
      <c r="I188" s="0" t="str">
        <f>HYPERLINK("bluebird-statement-2026-05.pdf#page=1","A-4 p.1 l.1")</f>
        <v>A-4 p.1 l.1</v>
      </c>
    </row>
    <row r="189">
      <c r="A189" s="2">
        <v>46143</v>
      </c>
      <c r="B189" s="0" t="inlineStr">
        <is>
          <t xml:space="preserve">ACH DEBIT WESTGATE SUITES RENT</t>
        </is>
      </c>
      <c r="C189" s="3">
        <v>-1900.0</v>
      </c>
      <c r="D189" s="3">
        <v>1900.0</v>
      </c>
      <c r="F189" s="3">
        <v>17371.93</v>
      </c>
      <c r="H189" s="0" t="inlineStr">
        <is>
          <t xml:space="preserve">Meridian Commerce Bank ····3303</t>
        </is>
      </c>
      <c r="I189" s="0" t="str">
        <f>HYPERLINK("bluebird-statement-2026-05.pdf#page=1","A-4 p.1 l.2")</f>
        <v>A-4 p.1 l.2</v>
      </c>
    </row>
    <row r="190">
      <c r="A190" s="2">
        <v>46145</v>
      </c>
      <c r="B190" s="0" t="inlineStr">
        <is>
          <t xml:space="preserve">POS PURCHASE AMAZON MKTPLACE</t>
        </is>
      </c>
      <c r="C190" s="3">
        <v>-1269.58</v>
      </c>
      <c r="D190" s="3">
        <v>1269.58</v>
      </c>
      <c r="F190" s="3">
        <v>16102.35</v>
      </c>
      <c r="H190" s="0" t="inlineStr">
        <is>
          <t xml:space="preserve">Meridian Commerce Bank ····3303</t>
        </is>
      </c>
      <c r="I190" s="0" t="str">
        <f>HYPERLINK("bluebird-statement-2026-05.pdf#page=1","A-4 p.1 l.3")</f>
        <v>A-4 p.1 l.3</v>
      </c>
    </row>
    <row r="191">
      <c r="A191" s="2">
        <v>46148</v>
      </c>
      <c r="B191" s="0" t="inlineStr">
        <is>
          <t xml:space="preserve">COUNTER DEPOSIT</t>
        </is>
      </c>
      <c r="C191" s="3">
        <v>3098.69</v>
      </c>
      <c r="E191" s="3">
        <v>3098.69</v>
      </c>
      <c r="F191" s="3">
        <v>19201.04</v>
      </c>
      <c r="H191" s="0" t="inlineStr">
        <is>
          <t xml:space="preserve">Meridian Commerce Bank ····3303</t>
        </is>
      </c>
      <c r="I191" s="0" t="str">
        <f>HYPERLINK("bluebird-statement-2026-05.pdf#page=1","A-4 p.1 l.4")</f>
        <v>A-4 p.1 l.4</v>
      </c>
    </row>
    <row r="192">
      <c r="A192" s="2">
        <v>46149</v>
      </c>
      <c r="B192" s="0" t="inlineStr">
        <is>
          <t xml:space="preserve">ZELLE CREDIT</t>
        </is>
      </c>
      <c r="C192" s="3">
        <v>4168.65</v>
      </c>
      <c r="E192" s="3">
        <v>4168.65</v>
      </c>
      <c r="F192" s="3">
        <v>23369.69</v>
      </c>
      <c r="H192" s="0" t="inlineStr">
        <is>
          <t xml:space="preserve">Meridian Commerce Bank ····3303</t>
        </is>
      </c>
      <c r="I192" s="0" t="str">
        <f>HYPERLINK("bluebird-statement-2026-05.pdf#page=1","A-4 p.1 l.5")</f>
        <v>A-4 p.1 l.5</v>
      </c>
    </row>
    <row r="193">
      <c r="A193" s="2">
        <v>46149</v>
      </c>
      <c r="B193" s="0" t="inlineStr">
        <is>
          <t xml:space="preserve">POS PURCHASE STAPLES ADVANTAGE</t>
        </is>
      </c>
      <c r="C193" s="3">
        <v>-1705.51</v>
      </c>
      <c r="D193" s="3">
        <v>1705.51</v>
      </c>
      <c r="F193" s="3">
        <v>21664.18</v>
      </c>
      <c r="H193" s="0" t="inlineStr">
        <is>
          <t xml:space="preserve">Meridian Commerce Bank ····3303</t>
        </is>
      </c>
      <c r="I193" s="0" t="str">
        <f>HYPERLINK("bluebird-statement-2026-05.pdf#page=1","A-4 p.1 l.6")</f>
        <v>A-4 p.1 l.6</v>
      </c>
    </row>
    <row r="194">
      <c r="A194" s="2">
        <v>46150</v>
      </c>
      <c r="B194" s="0" t="inlineStr">
        <is>
          <t xml:space="preserve">POS PURCHASE ULINE SUPPLY</t>
        </is>
      </c>
      <c r="C194" s="3">
        <v>-178.13</v>
      </c>
      <c r="D194" s="3">
        <v>178.13</v>
      </c>
      <c r="F194" s="3">
        <v>21486.05</v>
      </c>
      <c r="H194" s="0" t="inlineStr">
        <is>
          <t xml:space="preserve">Meridian Commerce Bank ····3303</t>
        </is>
      </c>
      <c r="I194" s="0" t="str">
        <f>HYPERLINK("bluebird-statement-2026-05.pdf#page=1","A-4 p.1 l.7")</f>
        <v>A-4 p.1 l.7</v>
      </c>
    </row>
    <row r="195">
      <c r="A195" s="2">
        <v>46150</v>
      </c>
      <c r="B195" s="0" t="inlineStr">
        <is>
          <t xml:space="preserve">POS PURCHASE STAPLES ADVANTAGE</t>
        </is>
      </c>
      <c r="C195" s="3">
        <v>-1206.61</v>
      </c>
      <c r="D195" s="3">
        <v>1206.61</v>
      </c>
      <c r="F195" s="3">
        <v>20279.44</v>
      </c>
      <c r="H195" s="0" t="inlineStr">
        <is>
          <t xml:space="preserve">Meridian Commerce Bank ····3303</t>
        </is>
      </c>
      <c r="I195" s="0" t="str">
        <f>HYPERLINK("bluebird-statement-2026-05.pdf#page=1","A-4 p.1 l.8")</f>
        <v>A-4 p.1 l.8</v>
      </c>
    </row>
    <row r="196">
      <c r="A196" s="2">
        <v>46153</v>
      </c>
      <c r="B196" s="0" t="inlineStr">
        <is>
          <t xml:space="preserve">ZELLE CREDIT</t>
        </is>
      </c>
      <c r="C196" s="3">
        <v>4565.55</v>
      </c>
      <c r="E196" s="3">
        <v>4565.55</v>
      </c>
      <c r="F196" s="3">
        <v>24844.99</v>
      </c>
      <c r="H196" s="0" t="inlineStr">
        <is>
          <t xml:space="preserve">Meridian Commerce Bank ····3303</t>
        </is>
      </c>
      <c r="I196" s="0" t="str">
        <f>HYPERLINK("bluebird-statement-2026-05.pdf#page=1","A-4 p.1 l.9")</f>
        <v>A-4 p.1 l.9</v>
      </c>
    </row>
    <row r="197">
      <c r="A197" s="2">
        <v>46154</v>
      </c>
      <c r="B197" s="0" t="inlineStr">
        <is>
          <t xml:space="preserve">REMOTE DEPOSIT CAPTURE</t>
        </is>
      </c>
      <c r="C197" s="3">
        <v>3189.67</v>
      </c>
      <c r="E197" s="3">
        <v>3189.67</v>
      </c>
      <c r="F197" s="3">
        <v>28034.66</v>
      </c>
      <c r="H197" s="0" t="inlineStr">
        <is>
          <t xml:space="preserve">Meridian Commerce Bank ····3303</t>
        </is>
      </c>
      <c r="I197" s="0" t="str">
        <f>HYPERLINK("bluebird-statement-2026-05.pdf#page=1","A-4 p.1 l.10")</f>
        <v>A-4 p.1 l.10</v>
      </c>
    </row>
    <row r="198">
      <c r="A198" s="2">
        <v>46155</v>
      </c>
      <c r="B198" s="0" t="inlineStr">
        <is>
          <t xml:space="preserve">COUNTER DEPOSIT</t>
        </is>
      </c>
      <c r="C198" s="3">
        <v>2557.47</v>
      </c>
      <c r="E198" s="3">
        <v>2557.47</v>
      </c>
      <c r="F198" s="3">
        <v>30592.13</v>
      </c>
      <c r="H198" s="0" t="inlineStr">
        <is>
          <t xml:space="preserve">Meridian Commerce Bank ····3303</t>
        </is>
      </c>
      <c r="I198" s="0" t="str">
        <f>HYPERLINK("bluebird-statement-2026-05.pdf#page=1","A-4 p.1 l.11")</f>
        <v>A-4 p.1 l.11</v>
      </c>
    </row>
    <row r="199">
      <c r="A199" s="2">
        <v>46157</v>
      </c>
      <c r="B199" s="0" t="inlineStr">
        <is>
          <t xml:space="preserve">POS PURCHASE AMAZON MKTPLACE</t>
        </is>
      </c>
      <c r="C199" s="3">
        <v>-733.89</v>
      </c>
      <c r="D199" s="3">
        <v>733.89</v>
      </c>
      <c r="F199" s="3">
        <v>29858.24</v>
      </c>
      <c r="H199" s="0" t="inlineStr">
        <is>
          <t xml:space="preserve">Meridian Commerce Bank ····3303</t>
        </is>
      </c>
      <c r="I199" s="0" t="str">
        <f>HYPERLINK("bluebird-statement-2026-05.pdf#page=1","A-4 p.1 l.12")</f>
        <v>A-4 p.1 l.12</v>
      </c>
    </row>
    <row r="200">
      <c r="A200" s="2">
        <v>46157</v>
      </c>
      <c r="B200" s="0" t="inlineStr">
        <is>
          <t xml:space="preserve">GUSTO PAYROLL 00185</t>
        </is>
      </c>
      <c r="C200" s="3">
        <v>-4110.2</v>
      </c>
      <c r="D200" s="3">
        <v>4110.2</v>
      </c>
      <c r="F200" s="3">
        <v>25748.04</v>
      </c>
      <c r="H200" s="0" t="inlineStr">
        <is>
          <t xml:space="preserve">Meridian Commerce Bank ····3303</t>
        </is>
      </c>
      <c r="I200" s="0" t="str">
        <f>HYPERLINK("bluebird-statement-2026-05.pdf#page=1","A-4 p.1 l.13")</f>
        <v>A-4 p.1 l.13</v>
      </c>
    </row>
    <row r="201">
      <c r="A201" s="2">
        <v>46158</v>
      </c>
      <c r="B201" s="0" t="inlineStr">
        <is>
          <t xml:space="preserve">POS PURCHASE ULINE SUPPLY</t>
        </is>
      </c>
      <c r="C201" s="3">
        <v>-1469.31</v>
      </c>
      <c r="D201" s="3">
        <v>1469.31</v>
      </c>
      <c r="F201" s="3">
        <v>24278.73</v>
      </c>
      <c r="H201" s="0" t="inlineStr">
        <is>
          <t xml:space="preserve">Meridian Commerce Bank ····3303</t>
        </is>
      </c>
      <c r="I201" s="0" t="str">
        <f>HYPERLINK("bluebird-statement-2026-05.pdf#page=1","A-4 p.1 l.14")</f>
        <v>A-4 p.1 l.14</v>
      </c>
    </row>
    <row r="202">
      <c r="A202" s="2">
        <v>46161</v>
      </c>
      <c r="B202" s="0" t="inlineStr">
        <is>
          <t xml:space="preserve">COUNTER DEPOSIT</t>
        </is>
      </c>
      <c r="C202" s="3">
        <v>4140.22</v>
      </c>
      <c r="E202" s="3">
        <v>4140.22</v>
      </c>
      <c r="F202" s="3">
        <v>28418.95</v>
      </c>
      <c r="H202" s="0" t="inlineStr">
        <is>
          <t xml:space="preserve">Meridian Commerce Bank ····3303</t>
        </is>
      </c>
      <c r="I202" s="0" t="str">
        <f>HYPERLINK("bluebird-statement-2026-05.pdf#page=1","A-4 p.1 l.15")</f>
        <v>A-4 p.1 l.15</v>
      </c>
    </row>
    <row r="203">
      <c r="A203" s="2">
        <v>46164</v>
      </c>
      <c r="B203" s="0" t="inlineStr">
        <is>
          <t xml:space="preserve">POS PURCHASE VERIZON WIRELESS</t>
        </is>
      </c>
      <c r="C203" s="3">
        <v>-918.4</v>
      </c>
      <c r="D203" s="3">
        <v>918.4</v>
      </c>
      <c r="F203" s="3">
        <v>27500.55</v>
      </c>
      <c r="H203" s="0" t="inlineStr">
        <is>
          <t xml:space="preserve">Meridian Commerce Bank ····3303</t>
        </is>
      </c>
      <c r="I203" s="0" t="str">
        <f>HYPERLINK("bluebird-statement-2026-05.pdf#page=1","A-4 p.1 l.16")</f>
        <v>A-4 p.1 l.16</v>
      </c>
    </row>
    <row r="204">
      <c r="A204" s="2">
        <v>46165</v>
      </c>
      <c r="B204" s="0" t="inlineStr">
        <is>
          <t xml:space="preserve">POS PURCHASE HOME DEPOT PRO</t>
        </is>
      </c>
      <c r="C204" s="3">
        <v>-1221.97</v>
      </c>
      <c r="D204" s="3">
        <v>1221.97</v>
      </c>
      <c r="F204" s="3">
        <v>26278.58</v>
      </c>
      <c r="H204" s="0" t="inlineStr">
        <is>
          <t xml:space="preserve">Meridian Commerce Bank ····3303</t>
        </is>
      </c>
      <c r="I204" s="0" t="str">
        <f>HYPERLINK("bluebird-statement-2026-05.pdf#page=1","A-4 p.1 l.17")</f>
        <v>A-4 p.1 l.17</v>
      </c>
    </row>
    <row r="205">
      <c r="A205" s="2">
        <v>46171</v>
      </c>
      <c r="B205" s="0" t="inlineStr">
        <is>
          <t xml:space="preserve">GUSTO PAYROLL 00186</t>
        </is>
      </c>
      <c r="C205" s="3">
        <v>-4110.2</v>
      </c>
      <c r="D205" s="3">
        <v>4110.2</v>
      </c>
      <c r="F205" s="3">
        <v>22168.38</v>
      </c>
      <c r="H205" s="0" t="inlineStr">
        <is>
          <t xml:space="preserve">Meridian Commerce Bank ····3303</t>
        </is>
      </c>
      <c r="I205" s="0" t="str">
        <f>HYPERLINK("bluebird-statement-2026-05.pdf#page=1","A-4 p.1 l.18")</f>
        <v>A-4 p.1 l.18</v>
      </c>
    </row>
    <row r="206">
      <c r="A206" s="2">
        <v>46173</v>
      </c>
      <c r="B206" s="0" t="inlineStr">
        <is>
          <t xml:space="preserve">POS PURCHASE VERIZON WIRELESS</t>
        </is>
      </c>
      <c r="C206" s="3">
        <v>-2169.84</v>
      </c>
      <c r="D206" s="3">
        <v>2169.84</v>
      </c>
      <c r="F206" s="3">
        <v>19998.54</v>
      </c>
      <c r="H206" s="0" t="inlineStr">
        <is>
          <t xml:space="preserve">Meridian Commerce Bank ····3303</t>
        </is>
      </c>
      <c r="I206" s="0" t="str">
        <f>HYPERLINK("bluebird-statement-2026-05.pdf#page=1","A-4 p.1 l.19")</f>
        <v>A-4 p.1 l.19</v>
      </c>
    </row>
    <row r="207">
      <c r="A207" s="2">
        <v>46173</v>
      </c>
      <c r="B207" s="0" t="inlineStr">
        <is>
          <t xml:space="preserve">POS PURCHASE STAPLES ADVANTAGE</t>
        </is>
      </c>
      <c r="C207" s="3">
        <v>-2375.64</v>
      </c>
      <c r="D207" s="3">
        <v>2375.64</v>
      </c>
      <c r="F207" s="3">
        <v>17622.9</v>
      </c>
      <c r="H207" s="0" t="inlineStr">
        <is>
          <t xml:space="preserve">Meridian Commerce Bank ····3303</t>
        </is>
      </c>
      <c r="I207" s="0" t="str">
        <f>HYPERLINK("bluebird-statement-2026-05.pdf#page=1","A-4 p.1 l.20")</f>
        <v>A-4 p.1 l.20</v>
      </c>
    </row>
    <row r="208">
      <c r="A208" s="2">
        <v>46174</v>
      </c>
      <c r="B208" s="0" t="inlineStr">
        <is>
          <t xml:space="preserve">ZELLE CREDIT</t>
        </is>
      </c>
      <c r="C208" s="3">
        <v>3664.15</v>
      </c>
      <c r="E208" s="3">
        <v>3664.15</v>
      </c>
      <c r="F208" s="3">
        <v>21287.05</v>
      </c>
      <c r="H208" s="0" t="inlineStr">
        <is>
          <t xml:space="preserve">Meridian Commerce Bank ····3303</t>
        </is>
      </c>
      <c r="I208" s="0" t="str">
        <f>HYPERLINK("bluebird-statement-2026-06.pdf#page=1","A-5 p.1 l.1")</f>
        <v>A-5 p.1 l.1</v>
      </c>
    </row>
    <row r="209">
      <c r="A209" s="2">
        <v>46174</v>
      </c>
      <c r="B209" s="0" t="inlineStr">
        <is>
          <t xml:space="preserve">ACH DEBIT WESTGATE SUITES RENT</t>
        </is>
      </c>
      <c r="C209" s="3">
        <v>-1900.0</v>
      </c>
      <c r="D209" s="3">
        <v>1900.0</v>
      </c>
      <c r="F209" s="3">
        <v>19387.05</v>
      </c>
      <c r="H209" s="0" t="inlineStr">
        <is>
          <t xml:space="preserve">Meridian Commerce Bank ····3303</t>
        </is>
      </c>
      <c r="I209" s="0" t="str">
        <f>HYPERLINK("bluebird-statement-2026-06.pdf#page=1","A-5 p.1 l.2")</f>
        <v>A-5 p.1 l.2</v>
      </c>
    </row>
    <row r="210">
      <c r="A210" s="2">
        <v>46176</v>
      </c>
      <c r="B210" s="0" t="inlineStr">
        <is>
          <t xml:space="preserve">REMOTE DEPOSIT CAPTURE</t>
        </is>
      </c>
      <c r="C210" s="3">
        <v>1692.28</v>
      </c>
      <c r="E210" s="3">
        <v>1692.28</v>
      </c>
      <c r="F210" s="3">
        <v>21079.33</v>
      </c>
      <c r="H210" s="0" t="inlineStr">
        <is>
          <t xml:space="preserve">Meridian Commerce Bank ····3303</t>
        </is>
      </c>
      <c r="I210" s="0" t="str">
        <f>HYPERLINK("bluebird-statement-2026-06.pdf#page=1","A-5 p.1 l.3")</f>
        <v>A-5 p.1 l.3</v>
      </c>
    </row>
    <row r="211">
      <c r="A211" s="2">
        <v>46177</v>
      </c>
      <c r="B211" s="0" t="inlineStr">
        <is>
          <t xml:space="preserve">ZELLE CREDIT</t>
        </is>
      </c>
      <c r="C211" s="3">
        <v>2216.46</v>
      </c>
      <c r="E211" s="3">
        <v>2216.46</v>
      </c>
      <c r="F211" s="3">
        <v>23295.79</v>
      </c>
      <c r="H211" s="0" t="inlineStr">
        <is>
          <t xml:space="preserve">Meridian Commerce Bank ····3303</t>
        </is>
      </c>
      <c r="I211" s="0" t="str">
        <f>HYPERLINK("bluebird-statement-2026-06.pdf#page=1","A-5 p.1 l.4")</f>
        <v>A-5 p.1 l.4</v>
      </c>
    </row>
    <row r="212">
      <c r="A212" s="2">
        <v>46181</v>
      </c>
      <c r="B212" s="0" t="inlineStr">
        <is>
          <t xml:space="preserve">ZELLE CREDIT</t>
        </is>
      </c>
      <c r="C212" s="3">
        <v>2748.96</v>
      </c>
      <c r="E212" s="3">
        <v>2748.96</v>
      </c>
      <c r="F212" s="3">
        <v>26044.75</v>
      </c>
      <c r="H212" s="0" t="inlineStr">
        <is>
          <t xml:space="preserve">Meridian Commerce Bank ····3303</t>
        </is>
      </c>
      <c r="I212" s="0" t="str">
        <f>HYPERLINK("bluebird-statement-2026-06.pdf#page=1","A-5 p.1 l.5")</f>
        <v>A-5 p.1 l.5</v>
      </c>
    </row>
    <row r="213">
      <c r="A213" s="2">
        <v>46182</v>
      </c>
      <c r="B213" s="0" t="inlineStr">
        <is>
          <t xml:space="preserve">POS PURCHASE ULINE SUPPLY</t>
        </is>
      </c>
      <c r="C213" s="3">
        <v>-2290.51</v>
      </c>
      <c r="D213" s="3">
        <v>2290.51</v>
      </c>
      <c r="F213" s="3">
        <v>23754.24</v>
      </c>
      <c r="H213" s="0" t="inlineStr">
        <is>
          <t xml:space="preserve">Meridian Commerce Bank ····3303</t>
        </is>
      </c>
      <c r="I213" s="0" t="str">
        <f>HYPERLINK("bluebird-statement-2026-06.pdf#page=1","A-5 p.1 l.6")</f>
        <v>A-5 p.1 l.6</v>
      </c>
    </row>
    <row r="214">
      <c r="A214" s="2">
        <v>46184</v>
      </c>
      <c r="B214" s="0" t="inlineStr">
        <is>
          <t xml:space="preserve">COUNTER DEPOSIT</t>
        </is>
      </c>
      <c r="C214" s="3">
        <v>2872.4</v>
      </c>
      <c r="E214" s="3">
        <v>2872.4</v>
      </c>
      <c r="F214" s="3">
        <v>26626.64</v>
      </c>
      <c r="H214" s="0" t="inlineStr">
        <is>
          <t xml:space="preserve">Meridian Commerce Bank ····3303</t>
        </is>
      </c>
      <c r="I214" s="0" t="str">
        <f>HYPERLINK("bluebird-statement-2026-06.pdf#page=1","A-5 p.1 l.7")</f>
        <v>A-5 p.1 l.7</v>
      </c>
    </row>
    <row r="215">
      <c r="A215" s="2">
        <v>46185</v>
      </c>
      <c r="B215" s="0" t="inlineStr">
        <is>
          <t xml:space="preserve">ZELLE CREDIT</t>
        </is>
      </c>
      <c r="C215" s="3">
        <v>2893.71</v>
      </c>
      <c r="E215" s="3">
        <v>2893.71</v>
      </c>
      <c r="F215" s="3">
        <v>29520.35</v>
      </c>
      <c r="H215" s="0" t="inlineStr">
        <is>
          <t xml:space="preserve">Meridian Commerce Bank ····3303</t>
        </is>
      </c>
      <c r="I215" s="0" t="str">
        <f>HYPERLINK("bluebird-statement-2026-06.pdf#page=1","A-5 p.1 l.8")</f>
        <v>A-5 p.1 l.8</v>
      </c>
    </row>
    <row r="216">
      <c r="A216" s="2">
        <v>46188</v>
      </c>
      <c r="B216" s="0" t="inlineStr">
        <is>
          <t xml:space="preserve">GUSTO PAYROLL 00190</t>
        </is>
      </c>
      <c r="C216" s="3">
        <v>-4110.2</v>
      </c>
      <c r="D216" s="3">
        <v>4110.2</v>
      </c>
      <c r="F216" s="3">
        <v>25410.15</v>
      </c>
      <c r="H216" s="0" t="inlineStr">
        <is>
          <t xml:space="preserve">Meridian Commerce Bank ····3303</t>
        </is>
      </c>
      <c r="I216" s="0" t="str">
        <f>HYPERLINK("bluebird-statement-2026-06.pdf#page=1","A-5 p.1 l.9")</f>
        <v>A-5 p.1 l.9</v>
      </c>
    </row>
    <row r="217">
      <c r="A217" s="2">
        <v>46190</v>
      </c>
      <c r="B217" s="0" t="inlineStr">
        <is>
          <t xml:space="preserve">ZELLE CREDIT</t>
        </is>
      </c>
      <c r="C217" s="3">
        <v>1437.04</v>
      </c>
      <c r="E217" s="3">
        <v>1437.04</v>
      </c>
      <c r="F217" s="3">
        <v>26847.19</v>
      </c>
      <c r="H217" s="0" t="inlineStr">
        <is>
          <t xml:space="preserve">Meridian Commerce Bank ····3303</t>
        </is>
      </c>
      <c r="I217" s="0" t="str">
        <f>HYPERLINK("bluebird-statement-2026-06.pdf#page=1","A-5 p.1 l.10")</f>
        <v>A-5 p.1 l.10</v>
      </c>
    </row>
    <row r="218">
      <c r="A218" s="2">
        <v>46191</v>
      </c>
      <c r="B218" s="0" t="inlineStr">
        <is>
          <t xml:space="preserve">REMOTE DEPOSIT CAPTURE</t>
        </is>
      </c>
      <c r="C218" s="3">
        <v>2546.7</v>
      </c>
      <c r="E218" s="3">
        <v>2546.7</v>
      </c>
      <c r="F218" s="3">
        <v>29393.89</v>
      </c>
      <c r="H218" s="0" t="inlineStr">
        <is>
          <t xml:space="preserve">Meridian Commerce Bank ····3303</t>
        </is>
      </c>
      <c r="I218" s="0" t="str">
        <f>HYPERLINK("bluebird-statement-2026-06.pdf#page=1","A-5 p.1 l.11")</f>
        <v>A-5 p.1 l.11</v>
      </c>
    </row>
    <row r="219">
      <c r="A219" s="2">
        <v>46192</v>
      </c>
      <c r="B219" s="0" t="inlineStr">
        <is>
          <t xml:space="preserve">POS PURCHASE AMAZON MKTPLACE</t>
        </is>
      </c>
      <c r="C219" s="3">
        <v>-1855.29</v>
      </c>
      <c r="D219" s="3">
        <v>1855.29</v>
      </c>
      <c r="F219" s="3">
        <v>27538.6</v>
      </c>
      <c r="H219" s="0" t="inlineStr">
        <is>
          <t xml:space="preserve">Meridian Commerce Bank ····3303</t>
        </is>
      </c>
      <c r="I219" s="0" t="str">
        <f>HYPERLINK("bluebird-statement-2026-06.pdf#page=1","A-5 p.1 l.12")</f>
        <v>A-5 p.1 l.12</v>
      </c>
    </row>
    <row r="220">
      <c r="A220" s="2">
        <v>46195</v>
      </c>
      <c r="B220" s="0" t="inlineStr">
        <is>
          <t xml:space="preserve">POS PURCHASE ULINE SUPPLY</t>
        </is>
      </c>
      <c r="C220" s="3">
        <v>-967.91</v>
      </c>
      <c r="D220" s="3">
        <v>967.91</v>
      </c>
      <c r="F220" s="3">
        <v>26570.69</v>
      </c>
      <c r="H220" s="0" t="inlineStr">
        <is>
          <t xml:space="preserve">Meridian Commerce Bank ····3303</t>
        </is>
      </c>
      <c r="I220" s="0" t="str">
        <f>HYPERLINK("bluebird-statement-2026-06.pdf#page=1","A-5 p.1 l.13")</f>
        <v>A-5 p.1 l.13</v>
      </c>
    </row>
    <row r="221">
      <c r="A221" s="2">
        <v>46196</v>
      </c>
      <c r="B221" s="0" t="inlineStr">
        <is>
          <t xml:space="preserve">REMOTE DEPOSIT CAPTURE</t>
        </is>
      </c>
      <c r="C221" s="3">
        <v>2030.26</v>
      </c>
      <c r="E221" s="3">
        <v>2030.26</v>
      </c>
      <c r="F221" s="3">
        <v>28600.95</v>
      </c>
      <c r="H221" s="0" t="inlineStr">
        <is>
          <t xml:space="preserve">Meridian Commerce Bank ····3303</t>
        </is>
      </c>
      <c r="I221" s="0" t="str">
        <f>HYPERLINK("bluebird-statement-2026-06.pdf#page=1","A-5 p.1 l.14")</f>
        <v>A-5 p.1 l.14</v>
      </c>
    </row>
    <row r="222">
      <c r="A222" s="2">
        <v>46196</v>
      </c>
      <c r="B222" s="0" t="inlineStr">
        <is>
          <t xml:space="preserve">POS PURCHASE AMAZON MKTPLACE</t>
        </is>
      </c>
      <c r="C222" s="3">
        <v>-1011.26</v>
      </c>
      <c r="D222" s="3">
        <v>1011.26</v>
      </c>
      <c r="F222" s="3">
        <v>27589.69</v>
      </c>
      <c r="H222" s="0" t="inlineStr">
        <is>
          <t xml:space="preserve">Meridian Commerce Bank ····3303</t>
        </is>
      </c>
      <c r="I222" s="0" t="str">
        <f>HYPERLINK("bluebird-statement-2026-06.pdf#page=1","A-5 p.1 l.15")</f>
        <v>A-5 p.1 l.15</v>
      </c>
    </row>
    <row r="223">
      <c r="A223" s="2">
        <v>46197</v>
      </c>
      <c r="B223" s="0" t="inlineStr">
        <is>
          <t xml:space="preserve">POS PURCHASE ULINE SUPPLY</t>
        </is>
      </c>
      <c r="C223" s="3">
        <v>-557.06</v>
      </c>
      <c r="D223" s="3">
        <v>557.06</v>
      </c>
      <c r="F223" s="3">
        <v>27032.63</v>
      </c>
      <c r="H223" s="0" t="inlineStr">
        <is>
          <t xml:space="preserve">Meridian Commerce Bank ····3303</t>
        </is>
      </c>
      <c r="I223" s="0" t="str">
        <f>HYPERLINK("bluebird-statement-2026-06.pdf#page=1","A-5 p.1 l.16")</f>
        <v>A-5 p.1 l.16</v>
      </c>
    </row>
    <row r="224">
      <c r="A224" s="2">
        <v>46197</v>
      </c>
      <c r="B224" s="0" t="inlineStr">
        <is>
          <t xml:space="preserve">POS PURCHASE STAPLES ADVANTAGE</t>
        </is>
      </c>
      <c r="C224" s="3">
        <v>-897.78</v>
      </c>
      <c r="D224" s="3">
        <v>897.78</v>
      </c>
      <c r="F224" s="3">
        <v>26134.85</v>
      </c>
      <c r="H224" s="0" t="inlineStr">
        <is>
          <t xml:space="preserve">Meridian Commerce Bank ····3303</t>
        </is>
      </c>
      <c r="I224" s="0" t="str">
        <f>HYPERLINK("bluebird-statement-2026-06.pdf#page=1","A-5 p.1 l.17")</f>
        <v>A-5 p.1 l.17</v>
      </c>
    </row>
    <row r="225">
      <c r="A225" s="2">
        <v>46198</v>
      </c>
      <c r="B225" s="0" t="inlineStr">
        <is>
          <t xml:space="preserve">POS PURCHASE STAPLES ADVANTAGE</t>
        </is>
      </c>
      <c r="C225" s="3">
        <v>-430.02</v>
      </c>
      <c r="D225" s="3">
        <v>430.02</v>
      </c>
      <c r="F225" s="3">
        <v>25704.83</v>
      </c>
      <c r="H225" s="0" t="inlineStr">
        <is>
          <t xml:space="preserve">Meridian Commerce Bank ····3303</t>
        </is>
      </c>
      <c r="I225" s="0" t="str">
        <f>HYPERLINK("bluebird-statement-2026-06.pdf#page=1","A-5 p.1 l.18")</f>
        <v>A-5 p.1 l.18</v>
      </c>
    </row>
    <row r="226">
      <c r="A226" s="2">
        <v>46203</v>
      </c>
      <c r="B226" s="0" t="inlineStr">
        <is>
          <t xml:space="preserve">GUSTO PAYROLL 00191</t>
        </is>
      </c>
      <c r="C226" s="3">
        <v>-4110.2</v>
      </c>
      <c r="D226" s="3">
        <v>4110.2</v>
      </c>
      <c r="F226" s="3">
        <v>21594.63</v>
      </c>
      <c r="H226" s="0" t="inlineStr">
        <is>
          <t xml:space="preserve">Meridian Commerce Bank ····3303</t>
        </is>
      </c>
      <c r="I226" s="0" t="str">
        <f>HYPERLINK("bluebird-statement-2026-06.pdf#page=1","A-5 p.1 l.19")</f>
        <v>A-5 p.1 l.19</v>
      </c>
    </row>
    <row r="227">
      <c r="A227" s="2">
        <v>46204</v>
      </c>
      <c r="B227" s="0" t="inlineStr">
        <is>
          <t xml:space="preserve">POS PURCHASE ULINE SUPPLY</t>
        </is>
      </c>
      <c r="C227" s="3">
        <v>-301.45</v>
      </c>
      <c r="D227" s="3">
        <v>301.45</v>
      </c>
      <c r="F227" s="3">
        <v>21293.18</v>
      </c>
      <c r="H227" s="0" t="inlineStr">
        <is>
          <t xml:space="preserve">Meridian Commerce Bank ····3303</t>
        </is>
      </c>
      <c r="I227" s="0" t="str">
        <f>HYPERLINK("bluebird-statement-2026-07.pdf#page=1","A-6 p.1 l.1")</f>
        <v>A-6 p.1 l.1</v>
      </c>
    </row>
    <row r="228">
      <c r="A228" s="2">
        <v>46204</v>
      </c>
      <c r="B228" s="0" t="inlineStr">
        <is>
          <t xml:space="preserve">ACH DEBIT WESTGATE SUITES RENT</t>
        </is>
      </c>
      <c r="C228" s="3">
        <v>-1900.0</v>
      </c>
      <c r="D228" s="3">
        <v>1900.0</v>
      </c>
      <c r="F228" s="3">
        <v>19393.18</v>
      </c>
      <c r="H228" s="0" t="inlineStr">
        <is>
          <t xml:space="preserve">Meridian Commerce Bank ····3303</t>
        </is>
      </c>
      <c r="I228" s="0" t="str">
        <f>HYPERLINK("bluebird-statement-2026-07.pdf#page=1","A-6 p.1 l.2")</f>
        <v>A-6 p.1 l.2</v>
      </c>
    </row>
    <row r="229">
      <c r="A229" s="2">
        <v>46206</v>
      </c>
      <c r="B229" s="0" t="inlineStr">
        <is>
          <t xml:space="preserve">ZELLE CREDIT</t>
        </is>
      </c>
      <c r="C229" s="3">
        <v>1820.93</v>
      </c>
      <c r="E229" s="3">
        <v>1820.93</v>
      </c>
      <c r="F229" s="3">
        <v>21214.11</v>
      </c>
      <c r="H229" s="0" t="inlineStr">
        <is>
          <t xml:space="preserve">Meridian Commerce Bank ····3303</t>
        </is>
      </c>
      <c r="I229" s="0" t="str">
        <f>HYPERLINK("bluebird-statement-2026-07.pdf#page=1","A-6 p.1 l.3")</f>
        <v>A-6 p.1 l.3</v>
      </c>
    </row>
    <row r="230">
      <c r="A230" s="2">
        <v>46210</v>
      </c>
      <c r="B230" s="0" t="inlineStr">
        <is>
          <t xml:space="preserve">POS PURCHASE STAPLES ADVANTAGE</t>
        </is>
      </c>
      <c r="C230" s="3">
        <v>-109.11</v>
      </c>
      <c r="D230" s="3">
        <v>109.11</v>
      </c>
      <c r="F230" s="3">
        <v>21105.0</v>
      </c>
      <c r="H230" s="0" t="inlineStr">
        <is>
          <t xml:space="preserve">Meridian Commerce Bank ····3303</t>
        </is>
      </c>
      <c r="I230" s="0" t="str">
        <f>HYPERLINK("bluebird-statement-2026-07.pdf#page=1","A-6 p.1 l.4")</f>
        <v>A-6 p.1 l.4</v>
      </c>
    </row>
    <row r="231">
      <c r="A231" s="2">
        <v>46211</v>
      </c>
      <c r="B231" s="0" t="inlineStr">
        <is>
          <t xml:space="preserve">COUNTER DEPOSIT</t>
        </is>
      </c>
      <c r="C231" s="3">
        <v>2991.43</v>
      </c>
      <c r="E231" s="3">
        <v>2991.43</v>
      </c>
      <c r="F231" s="3">
        <v>24096.43</v>
      </c>
      <c r="H231" s="0" t="inlineStr">
        <is>
          <t xml:space="preserve">Meridian Commerce Bank ····3303</t>
        </is>
      </c>
      <c r="I231" s="0" t="str">
        <f>HYPERLINK("bluebird-statement-2026-07.pdf#page=1","A-6 p.1 l.5")</f>
        <v>A-6 p.1 l.5</v>
      </c>
    </row>
    <row r="232">
      <c r="A232" s="2">
        <v>46212</v>
      </c>
      <c r="B232" s="0" t="inlineStr">
        <is>
          <t xml:space="preserve">COUNTER DEPOSIT</t>
        </is>
      </c>
      <c r="C232" s="3">
        <v>2158.43</v>
      </c>
      <c r="E232" s="3">
        <v>2158.43</v>
      </c>
      <c r="F232" s="3">
        <v>26254.86</v>
      </c>
      <c r="H232" s="0" t="inlineStr">
        <is>
          <t xml:space="preserve">Meridian Commerce Bank ····3303</t>
        </is>
      </c>
      <c r="I232" s="0" t="str">
        <f>HYPERLINK("bluebird-statement-2026-07.pdf#page=1","A-6 p.1 l.6")</f>
        <v>A-6 p.1 l.6</v>
      </c>
    </row>
    <row r="233">
      <c r="A233" s="2">
        <v>46216</v>
      </c>
      <c r="B233" s="0" t="inlineStr">
        <is>
          <t xml:space="preserve">ZELLE CREDIT</t>
        </is>
      </c>
      <c r="C233" s="3">
        <v>3548.07</v>
      </c>
      <c r="E233" s="3">
        <v>3548.07</v>
      </c>
      <c r="F233" s="3">
        <v>29802.93</v>
      </c>
      <c r="H233" s="0" t="inlineStr">
        <is>
          <t xml:space="preserve">Meridian Commerce Bank ····3303</t>
        </is>
      </c>
      <c r="I233" s="0" t="str">
        <f>HYPERLINK("bluebird-statement-2026-07.pdf#page=1","A-6 p.1 l.7")</f>
        <v>A-6 p.1 l.7</v>
      </c>
    </row>
    <row r="234">
      <c r="A234" s="2">
        <v>46217</v>
      </c>
      <c r="B234" s="0" t="inlineStr">
        <is>
          <t xml:space="preserve">REMOTE DEPOSIT CAPTURE</t>
        </is>
      </c>
      <c r="C234" s="3">
        <v>2590.77</v>
      </c>
      <c r="E234" s="3">
        <v>2590.77</v>
      </c>
      <c r="F234" s="3">
        <v>32393.7</v>
      </c>
      <c r="H234" s="0" t="inlineStr">
        <is>
          <t xml:space="preserve">Meridian Commerce Bank ····3303</t>
        </is>
      </c>
      <c r="I234" s="0" t="str">
        <f>HYPERLINK("bluebird-statement-2026-07.pdf#page=1","A-6 p.1 l.8")</f>
        <v>A-6 p.1 l.8</v>
      </c>
    </row>
    <row r="235">
      <c r="A235" s="2">
        <v>46218</v>
      </c>
      <c r="B235" s="0" t="inlineStr">
        <is>
          <t xml:space="preserve">GUSTO PAYROLL 00195</t>
        </is>
      </c>
      <c r="C235" s="3">
        <v>-4110.2</v>
      </c>
      <c r="D235" s="3">
        <v>4110.2</v>
      </c>
      <c r="F235" s="3">
        <v>28283.5</v>
      </c>
      <c r="H235" s="0" t="inlineStr">
        <is>
          <t xml:space="preserve">Meridian Commerce Bank ····3303</t>
        </is>
      </c>
      <c r="I235" s="0" t="str">
        <f>HYPERLINK("bluebird-statement-2026-07.pdf#page=1","A-6 p.1 l.9")</f>
        <v>A-6 p.1 l.9</v>
      </c>
    </row>
    <row r="236">
      <c r="A236" s="2">
        <v>46222</v>
      </c>
      <c r="B236" s="0" t="inlineStr">
        <is>
          <t xml:space="preserve">POS PURCHASE VERIZON WIRELESS</t>
        </is>
      </c>
      <c r="C236" s="3">
        <v>-1374.77</v>
      </c>
      <c r="D236" s="3">
        <v>1374.77</v>
      </c>
      <c r="F236" s="3">
        <v>26908.73</v>
      </c>
      <c r="H236" s="0" t="inlineStr">
        <is>
          <t xml:space="preserve">Meridian Commerce Bank ····3303</t>
        </is>
      </c>
      <c r="I236" s="0" t="str">
        <f>HYPERLINK("bluebird-statement-2026-07.pdf#page=1","A-6 p.1 l.10")</f>
        <v>A-6 p.1 l.10</v>
      </c>
    </row>
    <row r="237">
      <c r="A237" s="2">
        <v>46223</v>
      </c>
      <c r="B237" s="0" t="inlineStr">
        <is>
          <t xml:space="preserve">POS PURCHASE VERIZON WIRELESS</t>
        </is>
      </c>
      <c r="C237" s="3">
        <v>-635.46</v>
      </c>
      <c r="D237" s="3">
        <v>635.46</v>
      </c>
      <c r="F237" s="3">
        <v>26273.27</v>
      </c>
      <c r="H237" s="0" t="inlineStr">
        <is>
          <t xml:space="preserve">Meridian Commerce Bank ····3303</t>
        </is>
      </c>
      <c r="I237" s="0" t="str">
        <f>HYPERLINK("bluebird-statement-2026-07.pdf#page=1","A-6 p.1 l.11")</f>
        <v>A-6 p.1 l.11</v>
      </c>
    </row>
    <row r="238">
      <c r="A238" s="2">
        <v>46226</v>
      </c>
      <c r="B238" s="0" t="inlineStr">
        <is>
          <t xml:space="preserve">COUNTER DEPOSIT</t>
        </is>
      </c>
      <c r="C238" s="3">
        <v>1945.32</v>
      </c>
      <c r="E238" s="3">
        <v>1945.32</v>
      </c>
      <c r="F238" s="3">
        <v>28218.59</v>
      </c>
      <c r="H238" s="0" t="inlineStr">
        <is>
          <t xml:space="preserve">Meridian Commerce Bank ····3303</t>
        </is>
      </c>
      <c r="I238" s="0" t="str">
        <f>HYPERLINK("bluebird-statement-2026-07.pdf#page=1","A-6 p.1 l.12")</f>
        <v>A-6 p.1 l.12</v>
      </c>
    </row>
    <row r="239">
      <c r="A239" s="2">
        <v>46227</v>
      </c>
      <c r="B239" s="0" t="inlineStr">
        <is>
          <t xml:space="preserve">REMOTE DEPOSIT CAPTURE</t>
        </is>
      </c>
      <c r="C239" s="3">
        <v>1440.6</v>
      </c>
      <c r="E239" s="3">
        <v>1440.6</v>
      </c>
      <c r="F239" s="3">
        <v>29659.19</v>
      </c>
      <c r="H239" s="0" t="inlineStr">
        <is>
          <t xml:space="preserve">Meridian Commerce Bank ····3303</t>
        </is>
      </c>
      <c r="I239" s="0" t="str">
        <f>HYPERLINK("bluebird-statement-2026-07.pdf#page=1","A-6 p.1 l.13")</f>
        <v>A-6 p.1 l.13</v>
      </c>
    </row>
    <row r="240">
      <c r="A240" s="2">
        <v>46228</v>
      </c>
      <c r="B240" s="0" t="inlineStr">
        <is>
          <t xml:space="preserve">POS PURCHASE ULINE SUPPLY</t>
        </is>
      </c>
      <c r="C240" s="3">
        <v>-833.68</v>
      </c>
      <c r="D240" s="3">
        <v>833.68</v>
      </c>
      <c r="F240" s="3">
        <v>28825.51</v>
      </c>
      <c r="H240" s="0" t="inlineStr">
        <is>
          <t xml:space="preserve">Meridian Commerce Bank ····3303</t>
        </is>
      </c>
      <c r="I240" s="0" t="str">
        <f>HYPERLINK("bluebird-statement-2026-07.pdf#page=1","A-6 p.1 l.14")</f>
        <v>A-6 p.1 l.14</v>
      </c>
    </row>
    <row r="241">
      <c r="A241" s="2">
        <v>46230</v>
      </c>
      <c r="B241" s="0" t="inlineStr">
        <is>
          <t xml:space="preserve">ZELLE CREDIT</t>
        </is>
      </c>
      <c r="C241" s="3">
        <v>2900.74</v>
      </c>
      <c r="E241" s="3">
        <v>2900.74</v>
      </c>
      <c r="F241" s="3">
        <v>31726.25</v>
      </c>
      <c r="H241" s="0" t="inlineStr">
        <is>
          <t xml:space="preserve">Meridian Commerce Bank ····3303</t>
        </is>
      </c>
      <c r="I241" s="0" t="str">
        <f>HYPERLINK("bluebird-statement-2026-07.pdf#page=1","A-6 p.1 l.15")</f>
        <v>A-6 p.1 l.15</v>
      </c>
    </row>
    <row r="242">
      <c r="A242" s="2">
        <v>46230</v>
      </c>
      <c r="B242" s="0" t="inlineStr">
        <is>
          <t xml:space="preserve">POS PURCHASE HOME DEPOT PRO</t>
        </is>
      </c>
      <c r="C242" s="3">
        <v>-2399.6</v>
      </c>
      <c r="D242" s="3">
        <v>2399.6</v>
      </c>
      <c r="F242" s="3">
        <v>29326.65</v>
      </c>
      <c r="H242" s="0" t="inlineStr">
        <is>
          <t xml:space="preserve">Meridian Commerce Bank ····3303</t>
        </is>
      </c>
      <c r="I242" s="0" t="str">
        <f>HYPERLINK("bluebird-statement-2026-07.pdf#page=1","A-6 p.1 l.16")</f>
        <v>A-6 p.1 l.16</v>
      </c>
    </row>
    <row r="243">
      <c r="A243" s="2">
        <v>46231</v>
      </c>
      <c r="B243" s="0" t="inlineStr">
        <is>
          <t xml:space="preserve">POS PURCHASE ULINE SUPPLY</t>
        </is>
      </c>
      <c r="C243" s="3">
        <v>-1426.76</v>
      </c>
      <c r="D243" s="3">
        <v>1426.76</v>
      </c>
      <c r="F243" s="3">
        <v>27899.89</v>
      </c>
      <c r="H243" s="0" t="inlineStr">
        <is>
          <t xml:space="preserve">Meridian Commerce Bank ····3303</t>
        </is>
      </c>
      <c r="I243" s="0" t="str">
        <f>HYPERLINK("bluebird-statement-2026-07.pdf#page=1","A-6 p.1 l.17")</f>
        <v>A-6 p.1 l.17</v>
      </c>
    </row>
    <row r="244">
      <c r="A244" s="2">
        <v>46232</v>
      </c>
      <c r="B244" s="0" t="inlineStr">
        <is>
          <t xml:space="preserve">ZELLE CREDIT</t>
        </is>
      </c>
      <c r="C244" s="3">
        <v>2981.07</v>
      </c>
      <c r="E244" s="3">
        <v>2981.07</v>
      </c>
      <c r="F244" s="3">
        <v>30880.96</v>
      </c>
      <c r="H244" s="0" t="inlineStr">
        <is>
          <t xml:space="preserve">Meridian Commerce Bank ····3303</t>
        </is>
      </c>
      <c r="I244" s="0" t="str">
        <f>HYPERLINK("bluebird-statement-2026-07.pdf#page=1","A-6 p.1 l.18")</f>
        <v>A-6 p.1 l.18</v>
      </c>
    </row>
    <row r="245">
      <c r="A245" s="2">
        <v>46233</v>
      </c>
      <c r="B245" s="0" t="inlineStr">
        <is>
          <t xml:space="preserve">POS PURCHASE VERIZON WIRELESS</t>
        </is>
      </c>
      <c r="C245" s="3">
        <v>-1086.88</v>
      </c>
      <c r="D245" s="3">
        <v>1086.88</v>
      </c>
      <c r="F245" s="3">
        <v>29794.08</v>
      </c>
      <c r="H245" s="0" t="inlineStr">
        <is>
          <t xml:space="preserve">Meridian Commerce Bank ····3303</t>
        </is>
      </c>
      <c r="I245" s="0" t="str">
        <f>HYPERLINK("bluebird-statement-2026-07.pdf#page=1","A-6 p.1 l.19")</f>
        <v>A-6 p.1 l.19</v>
      </c>
    </row>
    <row r="246">
      <c r="A246" s="2">
        <v>46234</v>
      </c>
      <c r="B246" s="0" t="inlineStr">
        <is>
          <t xml:space="preserve">POS PURCHASE STAPLES ADVANTAGE</t>
        </is>
      </c>
      <c r="C246" s="3">
        <v>-1064.15</v>
      </c>
      <c r="D246" s="3">
        <v>1064.15</v>
      </c>
      <c r="F246" s="3">
        <v>28729.93</v>
      </c>
      <c r="H246" s="0" t="inlineStr">
        <is>
          <t xml:space="preserve">Meridian Commerce Bank ····3303</t>
        </is>
      </c>
      <c r="I246" s="0" t="str">
        <f>HYPERLINK("bluebird-statement-2026-07.pdf#page=1","A-6 p.1 l.20")</f>
        <v>A-6 p.1 l.20</v>
      </c>
    </row>
    <row r="247">
      <c r="A247" s="2">
        <v>46234</v>
      </c>
      <c r="B247" s="0" t="inlineStr">
        <is>
          <t xml:space="preserve">GUSTO PAYROLL 00196</t>
        </is>
      </c>
      <c r="C247" s="3">
        <v>-4110.2</v>
      </c>
      <c r="D247" s="3">
        <v>4110.2</v>
      </c>
      <c r="F247" s="3">
        <v>24619.73</v>
      </c>
      <c r="H247" s="0" t="inlineStr">
        <is>
          <t xml:space="preserve">Meridian Commerce Bank ····3303</t>
        </is>
      </c>
      <c r="I247" s="0" t="str">
        <f>HYPERLINK("bluebird-statement-2026-07.pdf#page=1","A-6 p.1 l.21")</f>
        <v>A-6 p.1 l.21</v>
      </c>
    </row>
    <row r="248">
      <c r="A248" s="2">
        <v>46143</v>
      </c>
      <c r="B248" s="0" t="inlineStr">
        <is>
          <t xml:space="preserve">SQUARE INC DEPOSIT</t>
        </is>
      </c>
      <c r="C248" s="3">
        <v>3098.94</v>
      </c>
      <c r="E248" s="3">
        <v>3098.94</v>
      </c>
      <c r="F248" s="3">
        <v>12498.94</v>
      </c>
      <c r="H248" s="0" t="inlineStr">
        <is>
          <t xml:space="preserve">Meridian Commerce Bank ····3101</t>
        </is>
      </c>
      <c r="I248" s="0" t="str">
        <f>HYPERLINK("meridian-subpoena-2026-05.pdf#page=1","A-7 p.1 l.1")</f>
        <v>A-7 p.1 l.1</v>
      </c>
    </row>
    <row r="249">
      <c r="A249" s="2">
        <v>46143</v>
      </c>
      <c r="B249" s="0" t="inlineStr">
        <is>
          <t xml:space="preserve">ACH DEBIT FORWARD FINANCING REMIT</t>
        </is>
      </c>
      <c r="C249" s="3">
        <v>-449.0</v>
      </c>
      <c r="D249" s="3">
        <v>449.0</v>
      </c>
      <c r="F249" s="3">
        <v>12049.94</v>
      </c>
      <c r="H249" s="0" t="inlineStr">
        <is>
          <t xml:space="preserve">Meridian Commerce Bank ····3101</t>
        </is>
      </c>
      <c r="I249" s="0" t="str">
        <f>HYPERLINK("meridian-subpoena-2026-05.pdf#page=1","A-7 p.1 l.2")</f>
        <v>A-7 p.1 l.2</v>
      </c>
    </row>
    <row r="250">
      <c r="A250" s="2">
        <v>46143</v>
      </c>
      <c r="B250" s="0" t="inlineStr">
        <is>
          <t xml:space="preserve">PAYCHEX PAYROLL 00185</t>
        </is>
      </c>
      <c r="C250" s="3">
        <v>-3265.4</v>
      </c>
      <c r="D250" s="3">
        <v>3265.4</v>
      </c>
      <c r="F250" s="3">
        <v>8784.54</v>
      </c>
      <c r="H250" s="0" t="inlineStr">
        <is>
          <t xml:space="preserve">Meridian Commerce Bank ····3101</t>
        </is>
      </c>
      <c r="I250" s="0" t="str">
        <f>HYPERLINK("meridian-subpoena-2026-05.pdf#page=1","A-7 p.1 l.3")</f>
        <v>A-7 p.1 l.3</v>
      </c>
    </row>
    <row r="251">
      <c r="A251" s="2">
        <v>46143</v>
      </c>
      <c r="B251" s="0" t="inlineStr">
        <is>
          <t xml:space="preserve">ACH DEBIT HARBOR LINE PROPERTIES</t>
        </is>
      </c>
      <c r="C251" s="3">
        <v>-5200.0</v>
      </c>
      <c r="D251" s="3">
        <v>5200.0</v>
      </c>
      <c r="F251" s="3">
        <v>3584.54</v>
      </c>
      <c r="H251" s="0" t="inlineStr">
        <is>
          <t xml:space="preserve">Meridian Commerce Bank ····3101</t>
        </is>
      </c>
      <c r="I251" s="0" t="str">
        <f>HYPERLINK("meridian-subpoena-2026-05.pdf#page=1","A-7 p.1 l.4")</f>
        <v>A-7 p.1 l.4</v>
      </c>
    </row>
    <row r="252">
      <c r="A252" s="2">
        <v>46144</v>
      </c>
      <c r="B252" s="0" t="inlineStr">
        <is>
          <t xml:space="preserve">POS PURCHASE SYSCO FOODS</t>
        </is>
      </c>
      <c r="C252" s="3">
        <v>-1044.11</v>
      </c>
      <c r="D252" s="3">
        <v>1044.11</v>
      </c>
      <c r="F252" s="3">
        <v>2540.43</v>
      </c>
      <c r="H252" s="0" t="inlineStr">
        <is>
          <t xml:space="preserve">Meridian Commerce Bank ····3101</t>
        </is>
      </c>
      <c r="I252" s="0" t="str">
        <f>HYPERLINK("meridian-subpoena-2026-05.pdf#page=1","A-7 p.1 l.5")</f>
        <v>A-7 p.1 l.5</v>
      </c>
    </row>
    <row r="253">
      <c r="A253" s="2">
        <v>46144</v>
      </c>
      <c r="B253" s="0" t="inlineStr">
        <is>
          <t xml:space="preserve">POS PURCHASE PEPSI BOTTLING</t>
        </is>
      </c>
      <c r="C253" s="3">
        <v>-1805.12</v>
      </c>
      <c r="D253" s="3">
        <v>1805.12</v>
      </c>
      <c r="F253" s="3">
        <v>735.31</v>
      </c>
      <c r="H253" s="0" t="inlineStr">
        <is>
          <t xml:space="preserve">Meridian Commerce Bank ····3101</t>
        </is>
      </c>
      <c r="I253" s="0" t="str">
        <f>HYPERLINK("meridian-subpoena-2026-05.pdf#page=1","A-7 p.1 l.6")</f>
        <v>A-7 p.1 l.6</v>
      </c>
    </row>
    <row r="254">
      <c r="A254" s="2">
        <v>46146</v>
      </c>
      <c r="B254" s="0" t="inlineStr">
        <is>
          <t xml:space="preserve">MERCHANT BANKCD DEPOSIT</t>
        </is>
      </c>
      <c r="C254" s="3">
        <v>2421.77</v>
      </c>
      <c r="E254" s="3">
        <v>2421.77</v>
      </c>
      <c r="F254" s="3">
        <v>3157.08</v>
      </c>
      <c r="H254" s="0" t="inlineStr">
        <is>
          <t xml:space="preserve">Meridian Commerce Bank ····3101</t>
        </is>
      </c>
      <c r="I254" s="0" t="str">
        <f>HYPERLINK("meridian-subpoena-2026-05.pdf#page=1","A-7 p.1 l.7")</f>
        <v>A-7 p.1 l.7</v>
      </c>
    </row>
    <row r="255">
      <c r="A255" s="2">
        <v>46146</v>
      </c>
      <c r="B255" s="0" t="inlineStr">
        <is>
          <t xml:space="preserve">ACH DEBIT FORWARD FINANCING REMIT</t>
        </is>
      </c>
      <c r="C255" s="3">
        <v>-449.0</v>
      </c>
      <c r="D255" s="3">
        <v>449.0</v>
      </c>
      <c r="F255" s="3">
        <v>2708.08</v>
      </c>
      <c r="H255" s="0" t="inlineStr">
        <is>
          <t xml:space="preserve">Meridian Commerce Bank ····3101</t>
        </is>
      </c>
      <c r="I255" s="0" t="str">
        <f>HYPERLINK("meridian-subpoena-2026-05.pdf#page=1","A-7 p.1 l.8")</f>
        <v>A-7 p.1 l.8</v>
      </c>
    </row>
    <row r="256">
      <c r="A256" s="2">
        <v>46147</v>
      </c>
      <c r="B256" s="0" t="inlineStr">
        <is>
          <t xml:space="preserve">SQUARE INC DEPOSIT</t>
        </is>
      </c>
      <c r="C256" s="3">
        <v>3768.02</v>
      </c>
      <c r="E256" s="3">
        <v>3768.02</v>
      </c>
      <c r="F256" s="3">
        <v>6476.1</v>
      </c>
      <c r="H256" s="0" t="inlineStr">
        <is>
          <t xml:space="preserve">Meridian Commerce Bank ····3101</t>
        </is>
      </c>
      <c r="I256" s="0" t="str">
        <f>HYPERLINK("meridian-subpoena-2026-05.pdf#page=1","A-7 p.1 l.9")</f>
        <v>A-7 p.1 l.9</v>
      </c>
    </row>
    <row r="257">
      <c r="A257" s="2">
        <v>46147</v>
      </c>
      <c r="B257" s="0" t="inlineStr">
        <is>
          <t xml:space="preserve">ACH DEBIT FORWARD FINANCING REMIT</t>
        </is>
      </c>
      <c r="C257" s="3">
        <v>-449.0</v>
      </c>
      <c r="D257" s="3">
        <v>449.0</v>
      </c>
      <c r="F257" s="3">
        <v>6027.1</v>
      </c>
      <c r="H257" s="0" t="inlineStr">
        <is>
          <t xml:space="preserve">Meridian Commerce Bank ····3101</t>
        </is>
      </c>
      <c r="I257" s="0" t="str">
        <f>HYPERLINK("meridian-subpoena-2026-05.pdf#page=1","A-7 p.1 l.10")</f>
        <v>A-7 p.1 l.10</v>
      </c>
    </row>
    <row r="258">
      <c r="A258" s="2">
        <v>46148</v>
      </c>
      <c r="B258" s="0" t="inlineStr">
        <is>
          <t xml:space="preserve">MERCHANT BANKCD DEPOSIT</t>
        </is>
      </c>
      <c r="C258" s="3">
        <v>4398.62</v>
      </c>
      <c r="E258" s="3">
        <v>4398.62</v>
      </c>
      <c r="F258" s="3">
        <v>10425.72</v>
      </c>
      <c r="H258" s="0" t="inlineStr">
        <is>
          <t xml:space="preserve">Meridian Commerce Bank ····3101</t>
        </is>
      </c>
      <c r="I258" s="0" t="str">
        <f>HYPERLINK("meridian-subpoena-2026-05.pdf#page=1","A-7 p.1 l.11")</f>
        <v>A-7 p.1 l.11</v>
      </c>
    </row>
    <row r="259">
      <c r="A259" s="2">
        <v>46148</v>
      </c>
      <c r="B259" s="0" t="inlineStr">
        <is>
          <t xml:space="preserve">ACH DEBIT FORWARD FINANCING REMIT</t>
        </is>
      </c>
      <c r="C259" s="3">
        <v>-449.0</v>
      </c>
      <c r="D259" s="3">
        <v>449.0</v>
      </c>
      <c r="F259" s="3">
        <v>9976.72</v>
      </c>
      <c r="H259" s="0" t="inlineStr">
        <is>
          <t xml:space="preserve">Meridian Commerce Bank ····3101</t>
        </is>
      </c>
      <c r="I259" s="0" t="str">
        <f>HYPERLINK("meridian-subpoena-2026-05.pdf#page=1","A-7 p.1 l.12")</f>
        <v>A-7 p.1 l.12</v>
      </c>
    </row>
    <row r="260">
      <c r="A260" s="2">
        <v>46148</v>
      </c>
      <c r="B260" s="0" t="inlineStr">
        <is>
          <t xml:space="preserve">POS PURCHASE ECOLAB SERVICES</t>
        </is>
      </c>
      <c r="C260" s="3">
        <v>-625.86</v>
      </c>
      <c r="D260" s="3">
        <v>625.86</v>
      </c>
      <c r="F260" s="3">
        <v>9350.86</v>
      </c>
      <c r="H260" s="0" t="inlineStr">
        <is>
          <t xml:space="preserve">Meridian Commerce Bank ····3101</t>
        </is>
      </c>
      <c r="I260" s="0" t="str">
        <f>HYPERLINK("meridian-subpoena-2026-05.pdf#page=1","A-7 p.1 l.13")</f>
        <v>A-7 p.1 l.13</v>
      </c>
    </row>
    <row r="261">
      <c r="A261" s="2">
        <v>46148</v>
      </c>
      <c r="B261" s="0" t="inlineStr">
        <is>
          <t xml:space="preserve">POS PURCHASE ECOLAB SERVICES</t>
        </is>
      </c>
      <c r="C261" s="3">
        <v>-806.15</v>
      </c>
      <c r="D261" s="3">
        <v>806.15</v>
      </c>
      <c r="F261" s="3">
        <v>8544.71</v>
      </c>
      <c r="H261" s="0" t="inlineStr">
        <is>
          <t xml:space="preserve">Meridian Commerce Bank ····3101</t>
        </is>
      </c>
      <c r="I261" s="0" t="str">
        <f>HYPERLINK("meridian-subpoena-2026-05.pdf#page=1","A-7 p.1 l.14")</f>
        <v>A-7 p.1 l.14</v>
      </c>
    </row>
    <row r="262">
      <c r="A262" s="2">
        <v>46149</v>
      </c>
      <c r="B262" s="0" t="inlineStr">
        <is>
          <t xml:space="preserve">COUNTER DEPOSIT</t>
        </is>
      </c>
      <c r="C262" s="3">
        <v>4816.65</v>
      </c>
      <c r="E262" s="3">
        <v>4816.65</v>
      </c>
      <c r="F262" s="3">
        <v>13361.36</v>
      </c>
      <c r="H262" s="0" t="inlineStr">
        <is>
          <t xml:space="preserve">Meridian Commerce Bank ····3101</t>
        </is>
      </c>
      <c r="I262" s="0" t="str">
        <f>HYPERLINK("meridian-subpoena-2026-05.pdf#page=1","A-7 p.1 l.15")</f>
        <v>A-7 p.1 l.15</v>
      </c>
    </row>
    <row r="263">
      <c r="A263" s="2">
        <v>46149</v>
      </c>
      <c r="B263" s="0" t="inlineStr">
        <is>
          <t xml:space="preserve">ACH DEBIT FORWARD FINANCING REMIT</t>
        </is>
      </c>
      <c r="C263" s="3">
        <v>-449.0</v>
      </c>
      <c r="D263" s="3">
        <v>449.0</v>
      </c>
      <c r="F263" s="3">
        <v>12912.36</v>
      </c>
      <c r="H263" s="0" t="inlineStr">
        <is>
          <t xml:space="preserve">Meridian Commerce Bank ····3101</t>
        </is>
      </c>
      <c r="I263" s="0" t="str">
        <f>HYPERLINK("meridian-subpoena-2026-05.pdf#page=1","A-7 p.1 l.16")</f>
        <v>A-7 p.1 l.16</v>
      </c>
    </row>
    <row r="264">
      <c r="A264" s="2">
        <v>46149</v>
      </c>
      <c r="B264" s="0" t="inlineStr">
        <is>
          <t xml:space="preserve">POS PURCHASE US FOODS</t>
        </is>
      </c>
      <c r="C264" s="3">
        <v>-2061.9</v>
      </c>
      <c r="D264" s="3">
        <v>2061.9</v>
      </c>
      <c r="F264" s="3">
        <v>10850.46</v>
      </c>
      <c r="H264" s="0" t="inlineStr">
        <is>
          <t xml:space="preserve">Meridian Commerce Bank ····3101</t>
        </is>
      </c>
      <c r="I264" s="0" t="str">
        <f>HYPERLINK("meridian-subpoena-2026-05.pdf#page=1","A-7 p.1 l.17")</f>
        <v>A-7 p.1 l.17</v>
      </c>
    </row>
    <row r="265">
      <c r="A265" s="2">
        <v>46150</v>
      </c>
      <c r="B265" s="0" t="inlineStr">
        <is>
          <t xml:space="preserve">SQUARE INC DEPOSIT</t>
        </is>
      </c>
      <c r="C265" s="3">
        <v>3108.87</v>
      </c>
      <c r="E265" s="3">
        <v>3108.87</v>
      </c>
      <c r="F265" s="3">
        <v>13959.33</v>
      </c>
      <c r="H265" s="0" t="inlineStr">
        <is>
          <t xml:space="preserve">Meridian Commerce Bank ····3101</t>
        </is>
      </c>
      <c r="I265" s="0" t="str">
        <f>HYPERLINK("meridian-subpoena-2026-05.pdf#page=1","A-7 p.1 l.18")</f>
        <v>A-7 p.1 l.18</v>
      </c>
    </row>
    <row r="266">
      <c r="A266" s="2">
        <v>46150</v>
      </c>
      <c r="B266" s="0" t="inlineStr">
        <is>
          <t xml:space="preserve">ACH DEBIT FORWARD FINANCING REMIT</t>
        </is>
      </c>
      <c r="C266" s="3">
        <v>-449.0</v>
      </c>
      <c r="D266" s="3">
        <v>449.0</v>
      </c>
      <c r="F266" s="3">
        <v>13510.33</v>
      </c>
      <c r="H266" s="0" t="inlineStr">
        <is>
          <t xml:space="preserve">Meridian Commerce Bank ····3101</t>
        </is>
      </c>
      <c r="I266" s="0" t="str">
        <f>HYPERLINK("meridian-subpoena-2026-05.pdf#page=1","A-7 p.1 l.19")</f>
        <v>A-7 p.1 l.19</v>
      </c>
    </row>
    <row r="267">
      <c r="A267" s="2">
        <v>46150</v>
      </c>
      <c r="B267" s="0" t="inlineStr">
        <is>
          <t xml:space="preserve">PAYCHEX PAYROLL 00186</t>
        </is>
      </c>
      <c r="C267" s="3">
        <v>-3265.4</v>
      </c>
      <c r="D267" s="3">
        <v>3265.4</v>
      </c>
      <c r="F267" s="3">
        <v>10244.93</v>
      </c>
      <c r="H267" s="0" t="inlineStr">
        <is>
          <t xml:space="preserve">Meridian Commerce Bank ····3101</t>
        </is>
      </c>
      <c r="I267" s="0" t="str">
        <f>HYPERLINK("meridian-subpoena-2026-05.pdf#page=1","A-7 p.1 l.20")</f>
        <v>A-7 p.1 l.20</v>
      </c>
    </row>
    <row r="268">
      <c r="A268" s="2">
        <v>46152</v>
      </c>
      <c r="B268" s="0" t="inlineStr">
        <is>
          <t xml:space="preserve">POS PURCHASE ECOLAB SERVICES</t>
        </is>
      </c>
      <c r="C268" s="3">
        <v>-422.13</v>
      </c>
      <c r="D268" s="3">
        <v>422.13</v>
      </c>
      <c r="F268" s="3">
        <v>9822.8</v>
      </c>
      <c r="H268" s="0" t="inlineStr">
        <is>
          <t xml:space="preserve">Meridian Commerce Bank ····3101</t>
        </is>
      </c>
      <c r="I268" s="0" t="str">
        <f>HYPERLINK("meridian-subpoena-2026-05.pdf#page=1","A-7 p.1 l.21")</f>
        <v>A-7 p.1 l.21</v>
      </c>
    </row>
    <row r="269">
      <c r="A269" s="2">
        <v>46153</v>
      </c>
      <c r="B269" s="0" t="inlineStr">
        <is>
          <t xml:space="preserve">MERCHANT BANKCD DEPOSIT</t>
        </is>
      </c>
      <c r="C269" s="3">
        <v>4558.1</v>
      </c>
      <c r="E269" s="3">
        <v>4558.1</v>
      </c>
      <c r="F269" s="3">
        <v>14380.9</v>
      </c>
      <c r="H269" s="0" t="inlineStr">
        <is>
          <t xml:space="preserve">Meridian Commerce Bank ····3101</t>
        </is>
      </c>
      <c r="I269" s="0" t="str">
        <f>HYPERLINK("meridian-subpoena-2026-05.pdf#page=1","A-7 p.1 l.22")</f>
        <v>A-7 p.1 l.22</v>
      </c>
    </row>
    <row r="270">
      <c r="A270" s="2">
        <v>46153</v>
      </c>
      <c r="B270" s="0" t="inlineStr">
        <is>
          <t xml:space="preserve">ACH DEBIT FORWARD FINANCING REMIT</t>
        </is>
      </c>
      <c r="C270" s="3">
        <v>-449.0</v>
      </c>
      <c r="D270" s="3">
        <v>449.0</v>
      </c>
      <c r="F270" s="3">
        <v>13931.9</v>
      </c>
      <c r="H270" s="0" t="inlineStr">
        <is>
          <t xml:space="preserve">Meridian Commerce Bank ····3101</t>
        </is>
      </c>
      <c r="I270" s="0" t="str">
        <f>HYPERLINK("meridian-subpoena-2026-05.pdf#page=1","A-7 p.1 l.23")</f>
        <v>A-7 p.1 l.23</v>
      </c>
    </row>
    <row r="271">
      <c r="A271" s="2">
        <v>46154</v>
      </c>
      <c r="B271" s="0" t="inlineStr">
        <is>
          <t xml:space="preserve">COUNTER DEPOSIT</t>
        </is>
      </c>
      <c r="C271" s="3">
        <v>2531.85</v>
      </c>
      <c r="E271" s="3">
        <v>2531.85</v>
      </c>
      <c r="F271" s="3">
        <v>16463.75</v>
      </c>
      <c r="H271" s="0" t="inlineStr">
        <is>
          <t xml:space="preserve">Meridian Commerce Bank ····3101</t>
        </is>
      </c>
      <c r="I271" s="0" t="str">
        <f>HYPERLINK("meridian-subpoena-2026-05.pdf#page=1","A-7 p.1 l.24")</f>
        <v>A-7 p.1 l.24</v>
      </c>
    </row>
    <row r="272">
      <c r="A272" s="2">
        <v>46154</v>
      </c>
      <c r="B272" s="0" t="inlineStr">
        <is>
          <t xml:space="preserve">ACH DEBIT FORWARD FINANCING REMIT</t>
        </is>
      </c>
      <c r="C272" s="3">
        <v>-449.0</v>
      </c>
      <c r="D272" s="3">
        <v>449.0</v>
      </c>
      <c r="F272" s="3">
        <v>16014.75</v>
      </c>
      <c r="H272" s="0" t="inlineStr">
        <is>
          <t xml:space="preserve">Meridian Commerce Bank ····3101</t>
        </is>
      </c>
      <c r="I272" s="0" t="str">
        <f>HYPERLINK("meridian-subpoena-2026-05.pdf#page=1","A-7 p.1 l.25")</f>
        <v>A-7 p.1 l.25</v>
      </c>
    </row>
    <row r="273">
      <c r="A273" s="2">
        <v>46155</v>
      </c>
      <c r="B273" s="0" t="inlineStr">
        <is>
          <t xml:space="preserve">SQUARE INC DEPOSIT</t>
        </is>
      </c>
      <c r="C273" s="3">
        <v>2200.57</v>
      </c>
      <c r="E273" s="3">
        <v>2200.57</v>
      </c>
      <c r="F273" s="3">
        <v>18215.32</v>
      </c>
      <c r="H273" s="0" t="inlineStr">
        <is>
          <t xml:space="preserve">Meridian Commerce Bank ····3101</t>
        </is>
      </c>
      <c r="I273" s="0" t="str">
        <f>HYPERLINK("meridian-subpoena-2026-05.pdf#page=1","A-7 p.1 l.26")</f>
        <v>A-7 p.1 l.26</v>
      </c>
    </row>
    <row r="274">
      <c r="A274" s="2">
        <v>46155</v>
      </c>
      <c r="B274" s="0" t="inlineStr">
        <is>
          <t xml:space="preserve">NSF RETURN ITEM FEE</t>
        </is>
      </c>
      <c r="C274" s="3">
        <v>-35.0</v>
      </c>
      <c r="D274" s="3">
        <v>35.0</v>
      </c>
      <c r="F274" s="3">
        <v>18180.32</v>
      </c>
      <c r="H274" s="0" t="inlineStr">
        <is>
          <t xml:space="preserve">Meridian Commerce Bank ····3101</t>
        </is>
      </c>
      <c r="I274" s="0" t="str">
        <f>HYPERLINK("meridian-subpoena-2026-05.pdf#page=1","A-7 p.1 l.27")</f>
        <v>A-7 p.1 l.27</v>
      </c>
    </row>
    <row r="275">
      <c r="A275" s="2">
        <v>46155</v>
      </c>
      <c r="B275" s="0" t="inlineStr">
        <is>
          <t xml:space="preserve">ACH DEBIT FORWARD FINANCING REMIT</t>
        </is>
      </c>
      <c r="C275" s="3">
        <v>-449.0</v>
      </c>
      <c r="D275" s="3">
        <v>449.0</v>
      </c>
      <c r="F275" s="3">
        <v>17731.32</v>
      </c>
      <c r="H275" s="0" t="inlineStr">
        <is>
          <t xml:space="preserve">Meridian Commerce Bank ····3101</t>
        </is>
      </c>
      <c r="I275" s="0" t="str">
        <f>HYPERLINK("meridian-subpoena-2026-05.pdf#page=1","A-7 p.1 l.28")</f>
        <v>A-7 p.1 l.28</v>
      </c>
    </row>
    <row r="276">
      <c r="A276" s="2">
        <v>46155</v>
      </c>
      <c r="B276" s="0" t="inlineStr">
        <is>
          <t xml:space="preserve">RETURNED ITEM - INSUFFICIENT FUNDS</t>
        </is>
      </c>
      <c r="C276" s="3">
        <v>-477.84</v>
      </c>
      <c r="D276" s="3">
        <v>477.84</v>
      </c>
      <c r="F276" s="3">
        <v>17253.48</v>
      </c>
      <c r="H276" s="0" t="inlineStr">
        <is>
          <t xml:space="preserve">Meridian Commerce Bank ····3101</t>
        </is>
      </c>
      <c r="I276" s="0" t="str">
        <f>HYPERLINK("meridian-subpoena-2026-05.pdf#page=1","A-7 p.1 l.29")</f>
        <v>A-7 p.1 l.29</v>
      </c>
    </row>
    <row r="277">
      <c r="A277" s="2">
        <v>46156</v>
      </c>
      <c r="B277" s="0" t="inlineStr">
        <is>
          <t xml:space="preserve">COUNTER DEPOSIT</t>
        </is>
      </c>
      <c r="C277" s="3">
        <v>4282.28</v>
      </c>
      <c r="E277" s="3">
        <v>4282.28</v>
      </c>
      <c r="F277" s="3">
        <v>21535.76</v>
      </c>
      <c r="H277" s="0" t="inlineStr">
        <is>
          <t xml:space="preserve">Meridian Commerce Bank ····3101</t>
        </is>
      </c>
      <c r="I277" s="0" t="str">
        <f>HYPERLINK("meridian-subpoena-2026-05.pdf#page=1","A-7 p.1 l.30")</f>
        <v>A-7 p.1 l.30</v>
      </c>
    </row>
    <row r="278">
      <c r="A278" s="2">
        <v>46156</v>
      </c>
      <c r="B278" s="0" t="inlineStr">
        <is>
          <t xml:space="preserve">ACH DEBIT FORWARD FINANCING REMIT</t>
        </is>
      </c>
      <c r="C278" s="3">
        <v>-449.0</v>
      </c>
      <c r="D278" s="3">
        <v>449.0</v>
      </c>
      <c r="F278" s="3">
        <v>21086.76</v>
      </c>
      <c r="H278" s="0" t="inlineStr">
        <is>
          <t xml:space="preserve">Meridian Commerce Bank ····3101</t>
        </is>
      </c>
      <c r="I278" s="0" t="str">
        <f>HYPERLINK("meridian-subpoena-2026-05.pdf#page=1","A-7 p.1 l.31")</f>
        <v>A-7 p.1 l.31</v>
      </c>
    </row>
    <row r="279">
      <c r="A279" s="2">
        <v>46157</v>
      </c>
      <c r="B279" s="0" t="inlineStr">
        <is>
          <t xml:space="preserve">MERCHANT BANKCD DEPOSIT</t>
        </is>
      </c>
      <c r="C279" s="3">
        <v>3200.83</v>
      </c>
      <c r="E279" s="3">
        <v>3200.83</v>
      </c>
      <c r="F279" s="3">
        <v>24287.59</v>
      </c>
      <c r="H279" s="0" t="inlineStr">
        <is>
          <t xml:space="preserve">Meridian Commerce Bank ····3101</t>
        </is>
      </c>
      <c r="I279" s="0" t="str">
        <f>HYPERLINK("meridian-subpoena-2026-05.pdf#page=1","A-7 p.1 l.32")</f>
        <v>A-7 p.1 l.32</v>
      </c>
    </row>
    <row r="280">
      <c r="A280" s="2">
        <v>46157</v>
      </c>
      <c r="B280" s="0" t="inlineStr">
        <is>
          <t xml:space="preserve">ACH DEBIT FORWARD FINANCING REMIT</t>
        </is>
      </c>
      <c r="C280" s="3">
        <v>-449.0</v>
      </c>
      <c r="D280" s="3">
        <v>449.0</v>
      </c>
      <c r="F280" s="3">
        <v>23838.59</v>
      </c>
      <c r="H280" s="0" t="inlineStr">
        <is>
          <t xml:space="preserve">Meridian Commerce Bank ····3101</t>
        </is>
      </c>
      <c r="I280" s="0" t="str">
        <f>HYPERLINK("meridian-subpoena-2026-05.pdf#page=2","A-7 p.2 l.1")</f>
        <v>A-7 p.2 l.1</v>
      </c>
    </row>
    <row r="281">
      <c r="A281" s="2">
        <v>46157</v>
      </c>
      <c r="B281" s="0" t="inlineStr">
        <is>
          <t xml:space="preserve">POS PURCHASE PEPSI BOTTLING</t>
        </is>
      </c>
      <c r="C281" s="3">
        <v>-1643.8</v>
      </c>
      <c r="D281" s="3">
        <v>1643.8</v>
      </c>
      <c r="F281" s="3">
        <v>22194.79</v>
      </c>
      <c r="H281" s="0" t="inlineStr">
        <is>
          <t xml:space="preserve">Meridian Commerce Bank ····3101</t>
        </is>
      </c>
      <c r="I281" s="0" t="str">
        <f>HYPERLINK("meridian-subpoena-2026-05.pdf#page=2","A-7 p.2 l.2")</f>
        <v>A-7 p.2 l.2</v>
      </c>
    </row>
    <row r="282">
      <c r="A282" s="2">
        <v>46157</v>
      </c>
      <c r="B282" s="0" t="inlineStr">
        <is>
          <t xml:space="preserve">PAYCHEX PAYROLL 00187</t>
        </is>
      </c>
      <c r="C282" s="3">
        <v>-3265.4</v>
      </c>
      <c r="D282" s="3">
        <v>3265.4</v>
      </c>
      <c r="F282" s="3">
        <v>18929.39</v>
      </c>
      <c r="H282" s="0" t="inlineStr">
        <is>
          <t xml:space="preserve">Meridian Commerce Bank ····3101</t>
        </is>
      </c>
      <c r="I282" s="0" t="str">
        <f>HYPERLINK("meridian-subpoena-2026-05.pdf#page=2","A-7 p.2 l.3")</f>
        <v>A-7 p.2 l.3</v>
      </c>
    </row>
    <row r="283">
      <c r="A283" s="2">
        <v>46158</v>
      </c>
      <c r="B283" s="0" t="inlineStr">
        <is>
          <t xml:space="preserve">POS PURCHASE ECOLAB SERVICES</t>
        </is>
      </c>
      <c r="C283" s="3">
        <v>-1277.68</v>
      </c>
      <c r="D283" s="3">
        <v>1277.68</v>
      </c>
      <c r="F283" s="3">
        <v>17651.71</v>
      </c>
      <c r="H283" s="0" t="inlineStr">
        <is>
          <t xml:space="preserve">Meridian Commerce Bank ····3101</t>
        </is>
      </c>
      <c r="I283" s="0" t="str">
        <f>HYPERLINK("meridian-subpoena-2026-05.pdf#page=2","A-7 p.2 l.4")</f>
        <v>A-7 p.2 l.4</v>
      </c>
    </row>
    <row r="284">
      <c r="A284" s="2">
        <v>46159</v>
      </c>
      <c r="B284" s="0" t="inlineStr">
        <is>
          <t xml:space="preserve">POS PURCHASE PEPSI BOTTLING</t>
        </is>
      </c>
      <c r="C284" s="3">
        <v>-604.77</v>
      </c>
      <c r="D284" s="3">
        <v>604.77</v>
      </c>
      <c r="F284" s="3">
        <v>17046.94</v>
      </c>
      <c r="H284" s="0" t="inlineStr">
        <is>
          <t xml:space="preserve">Meridian Commerce Bank ····3101</t>
        </is>
      </c>
      <c r="I284" s="0" t="str">
        <f>HYPERLINK("meridian-subpoena-2026-05.pdf#page=2","A-7 p.2 l.5")</f>
        <v>A-7 p.2 l.5</v>
      </c>
    </row>
    <row r="285">
      <c r="A285" s="2">
        <v>46160</v>
      </c>
      <c r="B285" s="0" t="inlineStr">
        <is>
          <t xml:space="preserve">COUNTER DEPOSIT</t>
        </is>
      </c>
      <c r="C285" s="3">
        <v>1922.02</v>
      </c>
      <c r="E285" s="3">
        <v>1922.02</v>
      </c>
      <c r="F285" s="3">
        <v>18968.96</v>
      </c>
      <c r="H285" s="0" t="inlineStr">
        <is>
          <t xml:space="preserve">Meridian Commerce Bank ····3101</t>
        </is>
      </c>
      <c r="I285" s="0" t="str">
        <f>HYPERLINK("meridian-subpoena-2026-05.pdf#page=2","A-7 p.2 l.6")</f>
        <v>A-7 p.2 l.6</v>
      </c>
    </row>
    <row r="286">
      <c r="A286" s="2">
        <v>46160</v>
      </c>
      <c r="B286" s="0" t="inlineStr">
        <is>
          <t xml:space="preserve">ACH DEBIT FORWARD FINANCING REMIT</t>
        </is>
      </c>
      <c r="C286" s="3">
        <v>-449.0</v>
      </c>
      <c r="D286" s="3">
        <v>449.0</v>
      </c>
      <c r="F286" s="3">
        <v>18519.96</v>
      </c>
      <c r="H286" s="0" t="inlineStr">
        <is>
          <t xml:space="preserve">Meridian Commerce Bank ····3101</t>
        </is>
      </c>
      <c r="I286" s="0" t="str">
        <f>HYPERLINK("meridian-subpoena-2026-05.pdf#page=2","A-7 p.2 l.7")</f>
        <v>A-7 p.2 l.7</v>
      </c>
    </row>
    <row r="287">
      <c r="A287" s="2">
        <v>46161</v>
      </c>
      <c r="B287" s="0" t="inlineStr">
        <is>
          <t xml:space="preserve">SQUARE INC DEPOSIT</t>
        </is>
      </c>
      <c r="C287" s="3">
        <v>3670.35</v>
      </c>
      <c r="E287" s="3">
        <v>3670.35</v>
      </c>
      <c r="F287" s="3">
        <v>22190.31</v>
      </c>
      <c r="H287" s="0" t="inlineStr">
        <is>
          <t xml:space="preserve">Meridian Commerce Bank ····3101</t>
        </is>
      </c>
      <c r="I287" s="0" t="str">
        <f>HYPERLINK("meridian-subpoena-2026-05.pdf#page=2","A-7 p.2 l.8")</f>
        <v>A-7 p.2 l.8</v>
      </c>
    </row>
    <row r="288">
      <c r="A288" s="2">
        <v>46161</v>
      </c>
      <c r="B288" s="0" t="inlineStr">
        <is>
          <t xml:space="preserve">ACH DEBIT FORWARD FINANCING REMIT</t>
        </is>
      </c>
      <c r="C288" s="3">
        <v>-449.0</v>
      </c>
      <c r="D288" s="3">
        <v>449.0</v>
      </c>
      <c r="F288" s="3">
        <v>21741.31</v>
      </c>
      <c r="H288" s="0" t="inlineStr">
        <is>
          <t xml:space="preserve">Meridian Commerce Bank ····3101</t>
        </is>
      </c>
      <c r="I288" s="0" t="str">
        <f>HYPERLINK("meridian-subpoena-2026-05.pdf#page=2","A-7 p.2 l.9")</f>
        <v>A-7 p.2 l.9</v>
      </c>
    </row>
    <row r="289">
      <c r="A289" s="2">
        <v>46161</v>
      </c>
      <c r="B289" s="0" t="inlineStr">
        <is>
          <t xml:space="preserve">POS PURCHASE PEPSI BOTTLING</t>
        </is>
      </c>
      <c r="C289" s="3">
        <v>-1312.5</v>
      </c>
      <c r="D289" s="3">
        <v>1312.5</v>
      </c>
      <c r="F289" s="3">
        <v>20428.81</v>
      </c>
      <c r="H289" s="0" t="inlineStr">
        <is>
          <t xml:space="preserve">Meridian Commerce Bank ····3101</t>
        </is>
      </c>
      <c r="I289" s="0" t="str">
        <f>HYPERLINK("meridian-subpoena-2026-05.pdf#page=2","A-7 p.2 l.10")</f>
        <v>A-7 p.2 l.10</v>
      </c>
    </row>
    <row r="290">
      <c r="A290" s="2">
        <v>46162</v>
      </c>
      <c r="B290" s="0" t="inlineStr">
        <is>
          <t xml:space="preserve">SQUARE INC DEPOSIT</t>
        </is>
      </c>
      <c r="C290" s="3">
        <v>1949.57</v>
      </c>
      <c r="E290" s="3">
        <v>1949.57</v>
      </c>
      <c r="F290" s="3">
        <v>22378.38</v>
      </c>
      <c r="H290" s="0" t="inlineStr">
        <is>
          <t xml:space="preserve">Meridian Commerce Bank ····3101</t>
        </is>
      </c>
      <c r="I290" s="0" t="str">
        <f>HYPERLINK("meridian-subpoena-2026-05.pdf#page=2","A-7 p.2 l.11")</f>
        <v>A-7 p.2 l.11</v>
      </c>
    </row>
    <row r="291">
      <c r="A291" s="2">
        <v>46162</v>
      </c>
      <c r="B291" s="0" t="inlineStr">
        <is>
          <t xml:space="preserve">ACH DEBIT FORWARD FINANCING REMIT</t>
        </is>
      </c>
      <c r="C291" s="3">
        <v>-449.0</v>
      </c>
      <c r="D291" s="3">
        <v>449.0</v>
      </c>
      <c r="F291" s="3">
        <v>21929.38</v>
      </c>
      <c r="H291" s="0" t="inlineStr">
        <is>
          <t xml:space="preserve">Meridian Commerce Bank ····3101</t>
        </is>
      </c>
      <c r="I291" s="0" t="str">
        <f>HYPERLINK("meridian-subpoena-2026-05.pdf#page=2","A-7 p.2 l.12")</f>
        <v>A-7 p.2 l.12</v>
      </c>
    </row>
    <row r="292">
      <c r="A292" s="2">
        <v>46163</v>
      </c>
      <c r="B292" s="0" t="inlineStr">
        <is>
          <t xml:space="preserve">SQUARE INC DEPOSIT</t>
        </is>
      </c>
      <c r="C292" s="3">
        <v>2097.21</v>
      </c>
      <c r="E292" s="3">
        <v>2097.21</v>
      </c>
      <c r="F292" s="3">
        <v>24026.59</v>
      </c>
      <c r="H292" s="0" t="inlineStr">
        <is>
          <t xml:space="preserve">Meridian Commerce Bank ····3101</t>
        </is>
      </c>
      <c r="I292" s="0" t="str">
        <f>HYPERLINK("meridian-subpoena-2026-05.pdf#page=2","A-7 p.2 l.13")</f>
        <v>A-7 p.2 l.13</v>
      </c>
    </row>
    <row r="293">
      <c r="A293" s="2">
        <v>46163</v>
      </c>
      <c r="B293" s="0" t="inlineStr">
        <is>
          <t xml:space="preserve">NSF RETURN ITEM FEE</t>
        </is>
      </c>
      <c r="C293" s="3">
        <v>-35.0</v>
      </c>
      <c r="D293" s="3">
        <v>35.0</v>
      </c>
      <c r="F293" s="3">
        <v>23991.59</v>
      </c>
      <c r="H293" s="0" t="inlineStr">
        <is>
          <t xml:space="preserve">Meridian Commerce Bank ····3101</t>
        </is>
      </c>
      <c r="I293" s="0" t="str">
        <f>HYPERLINK("meridian-subpoena-2026-05.pdf#page=2","A-7 p.2 l.14")</f>
        <v>A-7 p.2 l.14</v>
      </c>
    </row>
    <row r="294">
      <c r="A294" s="2">
        <v>46163</v>
      </c>
      <c r="B294" s="0" t="inlineStr">
        <is>
          <t xml:space="preserve">ACH DEBIT FORWARD FINANCING REMIT</t>
        </is>
      </c>
      <c r="C294" s="3">
        <v>-449.0</v>
      </c>
      <c r="D294" s="3">
        <v>449.0</v>
      </c>
      <c r="F294" s="3">
        <v>23542.59</v>
      </c>
      <c r="H294" s="0" t="inlineStr">
        <is>
          <t xml:space="preserve">Meridian Commerce Bank ····3101</t>
        </is>
      </c>
      <c r="I294" s="0" t="str">
        <f>HYPERLINK("meridian-subpoena-2026-05.pdf#page=2","A-7 p.2 l.15")</f>
        <v>A-7 p.2 l.15</v>
      </c>
    </row>
    <row r="295">
      <c r="A295" s="2">
        <v>46163</v>
      </c>
      <c r="B295" s="0" t="inlineStr">
        <is>
          <t xml:space="preserve">RETURNED ITEM - INSUFFICIENT FUNDS</t>
        </is>
      </c>
      <c r="C295" s="3">
        <v>-468.25</v>
      </c>
      <c r="D295" s="3">
        <v>468.25</v>
      </c>
      <c r="F295" s="3">
        <v>23074.34</v>
      </c>
      <c r="H295" s="0" t="inlineStr">
        <is>
          <t xml:space="preserve">Meridian Commerce Bank ····3101</t>
        </is>
      </c>
      <c r="I295" s="0" t="str">
        <f>HYPERLINK("meridian-subpoena-2026-05.pdf#page=2","A-7 p.2 l.16")</f>
        <v>A-7 p.2 l.16</v>
      </c>
    </row>
    <row r="296">
      <c r="A296" s="2">
        <v>46164</v>
      </c>
      <c r="B296" s="0" t="inlineStr">
        <is>
          <t xml:space="preserve">COUNTER DEPOSIT</t>
        </is>
      </c>
      <c r="C296" s="3">
        <v>2132.67</v>
      </c>
      <c r="E296" s="3">
        <v>2132.67</v>
      </c>
      <c r="F296" s="3">
        <v>25207.01</v>
      </c>
      <c r="H296" s="0" t="inlineStr">
        <is>
          <t xml:space="preserve">Meridian Commerce Bank ····3101</t>
        </is>
      </c>
      <c r="I296" s="0" t="str">
        <f>HYPERLINK("meridian-subpoena-2026-05.pdf#page=2","A-7 p.2 l.17")</f>
        <v>A-7 p.2 l.17</v>
      </c>
    </row>
    <row r="297">
      <c r="A297" s="2">
        <v>46164</v>
      </c>
      <c r="B297" s="0" t="inlineStr">
        <is>
          <t xml:space="preserve">ACH DEBIT FORWARD FINANCING REMIT</t>
        </is>
      </c>
      <c r="C297" s="3">
        <v>-449.0</v>
      </c>
      <c r="D297" s="3">
        <v>449.0</v>
      </c>
      <c r="F297" s="3">
        <v>24758.01</v>
      </c>
      <c r="H297" s="0" t="inlineStr">
        <is>
          <t xml:space="preserve">Meridian Commerce Bank ····3101</t>
        </is>
      </c>
      <c r="I297" s="0" t="str">
        <f>HYPERLINK("meridian-subpoena-2026-05.pdf#page=2","A-7 p.2 l.18")</f>
        <v>A-7 p.2 l.18</v>
      </c>
    </row>
    <row r="298">
      <c r="A298" s="2">
        <v>46164</v>
      </c>
      <c r="B298" s="0" t="inlineStr">
        <is>
          <t xml:space="preserve">PAYCHEX PAYROLL 00188</t>
        </is>
      </c>
      <c r="C298" s="3">
        <v>-3265.4</v>
      </c>
      <c r="D298" s="3">
        <v>3265.4</v>
      </c>
      <c r="F298" s="3">
        <v>21492.61</v>
      </c>
      <c r="H298" s="0" t="inlineStr">
        <is>
          <t xml:space="preserve">Meridian Commerce Bank ····3101</t>
        </is>
      </c>
      <c r="I298" s="0" t="str">
        <f>HYPERLINK("meridian-subpoena-2026-05.pdf#page=2","A-7 p.2 l.19")</f>
        <v>A-7 p.2 l.19</v>
      </c>
    </row>
    <row r="299">
      <c r="A299" s="2">
        <v>46167</v>
      </c>
      <c r="B299" s="0" t="inlineStr">
        <is>
          <t xml:space="preserve">POS PURCHASE PEPSI BOTTLING</t>
        </is>
      </c>
      <c r="C299" s="3">
        <v>-1516.69</v>
      </c>
      <c r="D299" s="3">
        <v>1516.69</v>
      </c>
      <c r="F299" s="3">
        <v>19975.92</v>
      </c>
      <c r="H299" s="0" t="inlineStr">
        <is>
          <t xml:space="preserve">Meridian Commerce Bank ····3101</t>
        </is>
      </c>
      <c r="I299" s="0" t="str">
        <f>HYPERLINK("meridian-subpoena-2026-05.pdf#page=2","A-7 p.2 l.20")</f>
        <v>A-7 p.2 l.20</v>
      </c>
    </row>
    <row r="300">
      <c r="A300" s="2">
        <v>46168</v>
      </c>
      <c r="B300" s="0" t="inlineStr">
        <is>
          <t xml:space="preserve">COUNTER DEPOSIT</t>
        </is>
      </c>
      <c r="C300" s="3">
        <v>4221.57</v>
      </c>
      <c r="E300" s="3">
        <v>4221.57</v>
      </c>
      <c r="F300" s="3">
        <v>24197.49</v>
      </c>
      <c r="H300" s="0" t="inlineStr">
        <is>
          <t xml:space="preserve">Meridian Commerce Bank ····3101</t>
        </is>
      </c>
      <c r="I300" s="0" t="str">
        <f>HYPERLINK("meridian-subpoena-2026-05.pdf#page=2","A-7 p.2 l.21")</f>
        <v>A-7 p.2 l.21</v>
      </c>
    </row>
    <row r="301">
      <c r="A301" s="2">
        <v>46168</v>
      </c>
      <c r="B301" s="0" t="inlineStr">
        <is>
          <t xml:space="preserve">ACH DEBIT FORWARD FINANCING REMIT</t>
        </is>
      </c>
      <c r="C301" s="3">
        <v>-449.0</v>
      </c>
      <c r="D301" s="3">
        <v>449.0</v>
      </c>
      <c r="F301" s="3">
        <v>23748.49</v>
      </c>
      <c r="H301" s="0" t="inlineStr">
        <is>
          <t xml:space="preserve">Meridian Commerce Bank ····3101</t>
        </is>
      </c>
      <c r="I301" s="0" t="str">
        <f>HYPERLINK("meridian-subpoena-2026-05.pdf#page=2","A-7 p.2 l.22")</f>
        <v>A-7 p.2 l.22</v>
      </c>
    </row>
    <row r="302">
      <c r="A302" s="2">
        <v>46169</v>
      </c>
      <c r="B302" s="0" t="inlineStr">
        <is>
          <t xml:space="preserve">COUNTER DEPOSIT</t>
        </is>
      </c>
      <c r="C302" s="3">
        <v>3621.89</v>
      </c>
      <c r="E302" s="3">
        <v>3621.89</v>
      </c>
      <c r="F302" s="3">
        <v>27370.38</v>
      </c>
      <c r="H302" s="0" t="inlineStr">
        <is>
          <t xml:space="preserve">Meridian Commerce Bank ····3101</t>
        </is>
      </c>
      <c r="I302" s="0" t="str">
        <f>HYPERLINK("meridian-subpoena-2026-05.pdf#page=2","A-7 p.2 l.23")</f>
        <v>A-7 p.2 l.23</v>
      </c>
    </row>
    <row r="303">
      <c r="A303" s="2">
        <v>46169</v>
      </c>
      <c r="B303" s="0" t="inlineStr">
        <is>
          <t xml:space="preserve">ONLINE TRANSFER FROM SAV ...7712</t>
        </is>
      </c>
      <c r="C303" s="3">
        <v>2301.33</v>
      </c>
      <c r="E303" s="3">
        <v>2301.33</v>
      </c>
      <c r="F303" s="3">
        <v>29671.71</v>
      </c>
      <c r="H303" s="0" t="inlineStr">
        <is>
          <t xml:space="preserve">Meridian Commerce Bank ····3101</t>
        </is>
      </c>
      <c r="I303" s="0" t="str">
        <f>HYPERLINK("meridian-subpoena-2026-05.pdf#page=2","A-7 p.2 l.24")</f>
        <v>A-7 p.2 l.24</v>
      </c>
    </row>
    <row r="304">
      <c r="A304" s="2">
        <v>46169</v>
      </c>
      <c r="B304" s="0" t="inlineStr">
        <is>
          <t xml:space="preserve">ACH DEBIT FORWARD FINANCING REMIT</t>
        </is>
      </c>
      <c r="C304" s="3">
        <v>-449.0</v>
      </c>
      <c r="D304" s="3">
        <v>449.0</v>
      </c>
      <c r="F304" s="3">
        <v>29222.71</v>
      </c>
      <c r="H304" s="0" t="inlineStr">
        <is>
          <t xml:space="preserve">Meridian Commerce Bank ····3101</t>
        </is>
      </c>
      <c r="I304" s="0" t="str">
        <f>HYPERLINK("meridian-subpoena-2026-05.pdf#page=2","A-7 p.2 l.25")</f>
        <v>A-7 p.2 l.25</v>
      </c>
    </row>
    <row r="305">
      <c r="A305" s="2">
        <v>46170</v>
      </c>
      <c r="B305" s="0" t="inlineStr">
        <is>
          <t xml:space="preserve">MERCHANT BANKCD DEPOSIT</t>
        </is>
      </c>
      <c r="C305" s="3">
        <v>2601.62</v>
      </c>
      <c r="E305" s="3">
        <v>2601.62</v>
      </c>
      <c r="F305" s="3">
        <v>31824.33</v>
      </c>
      <c r="H305" s="0" t="inlineStr">
        <is>
          <t xml:space="preserve">Meridian Commerce Bank ····3101</t>
        </is>
      </c>
      <c r="I305" s="0" t="str">
        <f>HYPERLINK("meridian-subpoena-2026-05.pdf#page=2","A-7 p.2 l.26")</f>
        <v>A-7 p.2 l.26</v>
      </c>
    </row>
    <row r="306">
      <c r="A306" s="2">
        <v>46170</v>
      </c>
      <c r="B306" s="0" t="inlineStr">
        <is>
          <t xml:space="preserve">POS PURCHASE PEPSI BOTTLING</t>
        </is>
      </c>
      <c r="C306" s="3">
        <v>-242.71</v>
      </c>
      <c r="D306" s="3">
        <v>242.71</v>
      </c>
      <c r="F306" s="3">
        <v>31581.62</v>
      </c>
      <c r="H306" s="0" t="inlineStr">
        <is>
          <t xml:space="preserve">Meridian Commerce Bank ····3101</t>
        </is>
      </c>
      <c r="I306" s="0" t="str">
        <f>HYPERLINK("meridian-subpoena-2026-05.pdf#page=2","A-7 p.2 l.27")</f>
        <v>A-7 p.2 l.27</v>
      </c>
    </row>
    <row r="307">
      <c r="A307" s="2">
        <v>46170</v>
      </c>
      <c r="B307" s="0" t="inlineStr">
        <is>
          <t xml:space="preserve">ACH DEBIT FORWARD FINANCING REMIT</t>
        </is>
      </c>
      <c r="C307" s="3">
        <v>-449.0</v>
      </c>
      <c r="D307" s="3">
        <v>449.0</v>
      </c>
      <c r="F307" s="3">
        <v>31132.62</v>
      </c>
      <c r="H307" s="0" t="inlineStr">
        <is>
          <t xml:space="preserve">Meridian Commerce Bank ····3101</t>
        </is>
      </c>
      <c r="I307" s="0" t="str">
        <f>HYPERLINK("meridian-subpoena-2026-05.pdf#page=2","A-7 p.2 l.28")</f>
        <v>A-7 p.2 l.28</v>
      </c>
    </row>
    <row r="308">
      <c r="A308" s="2">
        <v>46170</v>
      </c>
      <c r="B308" s="0" t="inlineStr">
        <is>
          <t xml:space="preserve">POS PURCHASE CINTAS CORP</t>
        </is>
      </c>
      <c r="C308" s="3">
        <v>-1000.09</v>
      </c>
      <c r="D308" s="3">
        <v>1000.09</v>
      </c>
      <c r="F308" s="3">
        <v>30132.53</v>
      </c>
      <c r="H308" s="0" t="inlineStr">
        <is>
          <t xml:space="preserve">Meridian Commerce Bank ····3101</t>
        </is>
      </c>
      <c r="I308" s="0" t="str">
        <f>HYPERLINK("meridian-subpoena-2026-05.pdf#page=2","A-7 p.2 l.29")</f>
        <v>A-7 p.2 l.29</v>
      </c>
    </row>
    <row r="309">
      <c r="A309" s="2">
        <v>46171</v>
      </c>
      <c r="B309" s="0" t="inlineStr">
        <is>
          <t xml:space="preserve">COUNTER DEPOSIT</t>
        </is>
      </c>
      <c r="C309" s="3">
        <v>2936.74</v>
      </c>
      <c r="E309" s="3">
        <v>2936.74</v>
      </c>
      <c r="F309" s="3">
        <v>33069.27</v>
      </c>
      <c r="H309" s="0" t="inlineStr">
        <is>
          <t xml:space="preserve">Meridian Commerce Bank ····3101</t>
        </is>
      </c>
      <c r="I309" s="0" t="str">
        <f>HYPERLINK("meridian-subpoena-2026-05.pdf#page=2","A-7 p.2 l.30")</f>
        <v>A-7 p.2 l.30</v>
      </c>
    </row>
    <row r="310">
      <c r="A310" s="2">
        <v>46171</v>
      </c>
      <c r="B310" s="0" t="inlineStr">
        <is>
          <t xml:space="preserve">ACH DEBIT FORWARD FINANCING REMIT</t>
        </is>
      </c>
      <c r="C310" s="3">
        <v>-449.0</v>
      </c>
      <c r="D310" s="3">
        <v>449.0</v>
      </c>
      <c r="F310" s="3">
        <v>32620.27</v>
      </c>
      <c r="H310" s="0" t="inlineStr">
        <is>
          <t xml:space="preserve">Meridian Commerce Bank ····3101</t>
        </is>
      </c>
      <c r="I310" s="0" t="str">
        <f>HYPERLINK("meridian-subpoena-2026-05.pdf#page=2","A-7 p.2 l.31")</f>
        <v>A-7 p.2 l.31</v>
      </c>
    </row>
    <row r="311">
      <c r="A311" s="2">
        <v>46171</v>
      </c>
      <c r="B311" s="0" t="inlineStr">
        <is>
          <t xml:space="preserve">POS PURCHASE RESTAURANT DEPOT</t>
        </is>
      </c>
      <c r="C311" s="3">
        <v>-2051.7</v>
      </c>
      <c r="D311" s="3">
        <v>2051.7</v>
      </c>
      <c r="F311" s="3">
        <v>30568.57</v>
      </c>
      <c r="H311" s="0" t="inlineStr">
        <is>
          <t xml:space="preserve">Meridian Commerce Bank ····3101</t>
        </is>
      </c>
      <c r="I311" s="0" t="str">
        <f>HYPERLINK("meridian-subpoena-2026-05.pdf#page=2","A-7 p.2 l.32")</f>
        <v>A-7 p.2 l.32</v>
      </c>
    </row>
    <row r="312">
      <c r="A312" s="2">
        <v>46171</v>
      </c>
      <c r="B312" s="0" t="inlineStr">
        <is>
          <t xml:space="preserve">PAYCHEX PAYROLL 00189</t>
        </is>
      </c>
      <c r="C312" s="3">
        <v>-3265.4</v>
      </c>
      <c r="D312" s="3">
        <v>3265.4</v>
      </c>
      <c r="F312" s="3">
        <v>27303.17</v>
      </c>
      <c r="H312" s="0" t="inlineStr">
        <is>
          <t xml:space="preserve">Meridian Commerce Bank ····3101</t>
        </is>
      </c>
      <c r="I312" s="0" t="str">
        <f>HYPERLINK("meridian-subpoena-2026-05.pdf#page=2","A-7 p.2 l.33")</f>
        <v>A-7 p.2 l.33</v>
      </c>
    </row>
    <row r="313">
      <c r="A313" s="2">
        <v>46173</v>
      </c>
      <c r="B313" s="0" t="inlineStr">
        <is>
          <t xml:space="preserve">POS PURCHASE ECOLAB SERVICES</t>
        </is>
      </c>
      <c r="C313" s="3">
        <v>-1503.49</v>
      </c>
      <c r="D313" s="3">
        <v>1503.49</v>
      </c>
      <c r="F313" s="3">
        <v>25799.68</v>
      </c>
      <c r="H313" s="0" t="inlineStr">
        <is>
          <t xml:space="preserve">Meridian Commerce Bank ····3101</t>
        </is>
      </c>
      <c r="I313" s="0" t="str">
        <f>HYPERLINK("meridian-subpoena-2026-05.pdf#page=2","A-7 p.2 l.34")</f>
        <v>A-7 p.2 l.34</v>
      </c>
    </row>
    <row r="314">
      <c r="A314" s="2">
        <v>46174</v>
      </c>
      <c r="B314" s="0" t="inlineStr">
        <is>
          <t xml:space="preserve">ACH DEBIT FORWARD FINANCING REMIT</t>
        </is>
      </c>
      <c r="C314" s="3">
        <v>-449.0</v>
      </c>
      <c r="D314" s="3">
        <v>449.0</v>
      </c>
      <c r="F314" s="3">
        <v>25350.68</v>
      </c>
      <c r="H314" s="0" t="inlineStr">
        <is>
          <t xml:space="preserve">Meridian Commerce Bank ····3101</t>
        </is>
      </c>
      <c r="I314" s="0" t="str">
        <f>HYPERLINK("meridian-subpoena-2026-06.pdf#page=1","A-8 p.1 l.1")</f>
        <v>A-8 p.1 l.1</v>
      </c>
    </row>
    <row r="315">
      <c r="A315" s="2">
        <v>46174</v>
      </c>
      <c r="B315" s="0" t="inlineStr">
        <is>
          <t xml:space="preserve">ACH DEBIT HARBOR LINE PROPERTIES</t>
        </is>
      </c>
      <c r="C315" s="3">
        <v>-5200.0</v>
      </c>
      <c r="D315" s="3">
        <v>5200.0</v>
      </c>
      <c r="F315" s="3">
        <v>20150.68</v>
      </c>
      <c r="H315" s="0" t="inlineStr">
        <is>
          <t xml:space="preserve">Meridian Commerce Bank ····3101</t>
        </is>
      </c>
      <c r="I315" s="0" t="str">
        <f>HYPERLINK("meridian-subpoena-2026-06.pdf#page=1","A-8 p.1 l.2")</f>
        <v>A-8 p.1 l.2</v>
      </c>
    </row>
    <row r="316">
      <c r="A316" s="2">
        <v>46175</v>
      </c>
      <c r="B316" s="0" t="inlineStr">
        <is>
          <t xml:space="preserve">COUNTER DEPOSIT</t>
        </is>
      </c>
      <c r="C316" s="3">
        <v>2096.25</v>
      </c>
      <c r="E316" s="3">
        <v>2096.25</v>
      </c>
      <c r="F316" s="3">
        <v>22246.93</v>
      </c>
      <c r="H316" s="0" t="inlineStr">
        <is>
          <t xml:space="preserve">Meridian Commerce Bank ····3101</t>
        </is>
      </c>
      <c r="I316" s="0" t="str">
        <f>HYPERLINK("meridian-subpoena-2026-06.pdf#page=1","A-8 p.1 l.3")</f>
        <v>A-8 p.1 l.3</v>
      </c>
    </row>
    <row r="317">
      <c r="A317" s="2">
        <v>46175</v>
      </c>
      <c r="B317" s="0" t="inlineStr">
        <is>
          <t xml:space="preserve">ACH DEBIT FORWARD FINANCING REMIT</t>
        </is>
      </c>
      <c r="C317" s="3">
        <v>-449.0</v>
      </c>
      <c r="D317" s="3">
        <v>449.0</v>
      </c>
      <c r="F317" s="3">
        <v>21797.93</v>
      </c>
      <c r="H317" s="0" t="inlineStr">
        <is>
          <t xml:space="preserve">Meridian Commerce Bank ····3101</t>
        </is>
      </c>
      <c r="I317" s="0" t="str">
        <f>HYPERLINK("meridian-subpoena-2026-06.pdf#page=1","A-8 p.1 l.4")</f>
        <v>A-8 p.1 l.4</v>
      </c>
    </row>
    <row r="318">
      <c r="A318" s="2">
        <v>46175</v>
      </c>
      <c r="B318" s="0" t="inlineStr">
        <is>
          <t xml:space="preserve">POS PURCHASE ECOLAB SERVICES</t>
        </is>
      </c>
      <c r="C318" s="3">
        <v>-657.81</v>
      </c>
      <c r="D318" s="3">
        <v>657.81</v>
      </c>
      <c r="F318" s="3">
        <v>21140.12</v>
      </c>
      <c r="H318" s="0" t="inlineStr">
        <is>
          <t xml:space="preserve">Meridian Commerce Bank ····3101</t>
        </is>
      </c>
      <c r="I318" s="0" t="str">
        <f>HYPERLINK("meridian-subpoena-2026-06.pdf#page=1","A-8 p.1 l.5")</f>
        <v>A-8 p.1 l.5</v>
      </c>
    </row>
    <row r="319">
      <c r="A319" s="2">
        <v>46175</v>
      </c>
      <c r="B319" s="0" t="inlineStr">
        <is>
          <t xml:space="preserve">POS PURCHASE ECOLAB SERVICES</t>
        </is>
      </c>
      <c r="C319" s="3">
        <v>-680.83</v>
      </c>
      <c r="D319" s="3">
        <v>680.83</v>
      </c>
      <c r="F319" s="3">
        <v>20459.29</v>
      </c>
      <c r="H319" s="0" t="inlineStr">
        <is>
          <t xml:space="preserve">Meridian Commerce Bank ····3101</t>
        </is>
      </c>
      <c r="I319" s="0" t="str">
        <f>HYPERLINK("meridian-subpoena-2026-06.pdf#page=1","A-8 p.1 l.6")</f>
        <v>A-8 p.1 l.6</v>
      </c>
    </row>
    <row r="320">
      <c r="A320" s="2">
        <v>46176</v>
      </c>
      <c r="B320" s="0" t="inlineStr">
        <is>
          <t xml:space="preserve">MERCHANT BANKCD DEPOSIT</t>
        </is>
      </c>
      <c r="C320" s="3">
        <v>4891.59</v>
      </c>
      <c r="E320" s="3">
        <v>4891.59</v>
      </c>
      <c r="F320" s="3">
        <v>25350.88</v>
      </c>
      <c r="H320" s="0" t="inlineStr">
        <is>
          <t xml:space="preserve">Meridian Commerce Bank ····3101</t>
        </is>
      </c>
      <c r="I320" s="0" t="str">
        <f>HYPERLINK("meridian-subpoena-2026-06.pdf#page=1","A-8 p.1 l.7")</f>
        <v>A-8 p.1 l.7</v>
      </c>
    </row>
    <row r="321">
      <c r="A321" s="2">
        <v>46176</v>
      </c>
      <c r="B321" s="0" t="inlineStr">
        <is>
          <t xml:space="preserve">NSF RETURN ITEM FEE</t>
        </is>
      </c>
      <c r="C321" s="3">
        <v>-35.0</v>
      </c>
      <c r="D321" s="3">
        <v>35.0</v>
      </c>
      <c r="F321" s="3">
        <v>25315.88</v>
      </c>
      <c r="H321" s="0" t="inlineStr">
        <is>
          <t xml:space="preserve">Meridian Commerce Bank ····3101</t>
        </is>
      </c>
      <c r="I321" s="0" t="str">
        <f>HYPERLINK("meridian-subpoena-2026-06.pdf#page=1","A-8 p.1 l.8")</f>
        <v>A-8 p.1 l.8</v>
      </c>
    </row>
    <row r="322">
      <c r="A322" s="2">
        <v>46176</v>
      </c>
      <c r="B322" s="0" t="inlineStr">
        <is>
          <t xml:space="preserve">ACH DEBIT FORWARD FINANCING REMIT</t>
        </is>
      </c>
      <c r="C322" s="3">
        <v>-449.0</v>
      </c>
      <c r="D322" s="3">
        <v>449.0</v>
      </c>
      <c r="F322" s="3">
        <v>24866.88</v>
      </c>
      <c r="H322" s="0" t="inlineStr">
        <is>
          <t xml:space="preserve">Meridian Commerce Bank ····3101</t>
        </is>
      </c>
      <c r="I322" s="0" t="str">
        <f>HYPERLINK("meridian-subpoena-2026-06.pdf#page=1","A-8 p.1 l.9")</f>
        <v>A-8 p.1 l.9</v>
      </c>
    </row>
    <row r="323">
      <c r="A323" s="2">
        <v>46176</v>
      </c>
      <c r="B323" s="0" t="inlineStr">
        <is>
          <t xml:space="preserve">RETURNED ITEM - INSUFFICIENT FUNDS</t>
        </is>
      </c>
      <c r="C323" s="3">
        <v>-810.75</v>
      </c>
      <c r="D323" s="3">
        <v>810.75</v>
      </c>
      <c r="F323" s="3">
        <v>24056.13</v>
      </c>
      <c r="H323" s="0" t="inlineStr">
        <is>
          <t xml:space="preserve">Meridian Commerce Bank ····3101</t>
        </is>
      </c>
      <c r="I323" s="0" t="str">
        <f>HYPERLINK("meridian-subpoena-2026-06.pdf#page=1","A-8 p.1 l.10")</f>
        <v>A-8 p.1 l.10</v>
      </c>
    </row>
    <row r="324">
      <c r="A324" s="2">
        <v>46177</v>
      </c>
      <c r="B324" s="0" t="inlineStr">
        <is>
          <t xml:space="preserve">SQUARE INC DEPOSIT</t>
        </is>
      </c>
      <c r="C324" s="3">
        <v>3492.63</v>
      </c>
      <c r="E324" s="3">
        <v>3492.63</v>
      </c>
      <c r="F324" s="3">
        <v>27548.76</v>
      </c>
      <c r="H324" s="0" t="inlineStr">
        <is>
          <t xml:space="preserve">Meridian Commerce Bank ····3101</t>
        </is>
      </c>
      <c r="I324" s="0" t="str">
        <f>HYPERLINK("meridian-subpoena-2026-06.pdf#page=1","A-8 p.1 l.11")</f>
        <v>A-8 p.1 l.11</v>
      </c>
    </row>
    <row r="325">
      <c r="A325" s="2">
        <v>46177</v>
      </c>
      <c r="B325" s="0" t="inlineStr">
        <is>
          <t xml:space="preserve">ACH DEBIT FORWARD FINANCING REMIT</t>
        </is>
      </c>
      <c r="C325" s="3">
        <v>-449.0</v>
      </c>
      <c r="D325" s="3">
        <v>449.0</v>
      </c>
      <c r="F325" s="3">
        <v>27099.76</v>
      </c>
      <c r="H325" s="0" t="inlineStr">
        <is>
          <t xml:space="preserve">Meridian Commerce Bank ····3101</t>
        </is>
      </c>
      <c r="I325" s="0" t="str">
        <f>HYPERLINK("meridian-subpoena-2026-06.pdf#page=1","A-8 p.1 l.12")</f>
        <v>A-8 p.1 l.12</v>
      </c>
    </row>
    <row r="326">
      <c r="A326" s="2">
        <v>46178</v>
      </c>
      <c r="B326" s="0" t="inlineStr">
        <is>
          <t xml:space="preserve">MERCHANT BANKCD DEPOSIT</t>
        </is>
      </c>
      <c r="C326" s="3">
        <v>2189.53</v>
      </c>
      <c r="E326" s="3">
        <v>2189.53</v>
      </c>
      <c r="F326" s="3">
        <v>29289.29</v>
      </c>
      <c r="H326" s="0" t="inlineStr">
        <is>
          <t xml:space="preserve">Meridian Commerce Bank ····3101</t>
        </is>
      </c>
      <c r="I326" s="0" t="str">
        <f>HYPERLINK("meridian-subpoena-2026-06.pdf#page=1","A-8 p.1 l.13")</f>
        <v>A-8 p.1 l.13</v>
      </c>
    </row>
    <row r="327">
      <c r="A327" s="2">
        <v>46178</v>
      </c>
      <c r="B327" s="0" t="inlineStr">
        <is>
          <t xml:space="preserve">ACH DEBIT FORWARD FINANCING REMIT</t>
        </is>
      </c>
      <c r="C327" s="3">
        <v>-449.0</v>
      </c>
      <c r="D327" s="3">
        <v>449.0</v>
      </c>
      <c r="F327" s="3">
        <v>28840.29</v>
      </c>
      <c r="H327" s="0" t="inlineStr">
        <is>
          <t xml:space="preserve">Meridian Commerce Bank ····3101</t>
        </is>
      </c>
      <c r="I327" s="0" t="str">
        <f>HYPERLINK("meridian-subpoena-2026-06.pdf#page=1","A-8 p.1 l.14")</f>
        <v>A-8 p.1 l.14</v>
      </c>
    </row>
    <row r="328">
      <c r="A328" s="2">
        <v>46178</v>
      </c>
      <c r="B328" s="0" t="inlineStr">
        <is>
          <t xml:space="preserve">POS PURCHASE SYSCO FOODS</t>
        </is>
      </c>
      <c r="C328" s="3">
        <v>-897.02</v>
      </c>
      <c r="D328" s="3">
        <v>897.02</v>
      </c>
      <c r="F328" s="3">
        <v>27943.27</v>
      </c>
      <c r="H328" s="0" t="inlineStr">
        <is>
          <t xml:space="preserve">Meridian Commerce Bank ····3101</t>
        </is>
      </c>
      <c r="I328" s="0" t="str">
        <f>HYPERLINK("meridian-subpoena-2026-06.pdf#page=1","A-8 p.1 l.15")</f>
        <v>A-8 p.1 l.15</v>
      </c>
    </row>
    <row r="329">
      <c r="A329" s="2">
        <v>46178</v>
      </c>
      <c r="B329" s="0" t="inlineStr">
        <is>
          <t xml:space="preserve">PAYCHEX PAYROLL 00190</t>
        </is>
      </c>
      <c r="C329" s="3">
        <v>-3265.4</v>
      </c>
      <c r="D329" s="3">
        <v>3265.4</v>
      </c>
      <c r="F329" s="3">
        <v>24677.87</v>
      </c>
      <c r="H329" s="0" t="inlineStr">
        <is>
          <t xml:space="preserve">Meridian Commerce Bank ····3101</t>
        </is>
      </c>
      <c r="I329" s="0" t="str">
        <f>HYPERLINK("meridian-subpoena-2026-06.pdf#page=1","A-8 p.1 l.16")</f>
        <v>A-8 p.1 l.16</v>
      </c>
    </row>
    <row r="330">
      <c r="A330" s="2">
        <v>46181</v>
      </c>
      <c r="B330" s="0" t="inlineStr">
        <is>
          <t xml:space="preserve">MERCHANT BANKCD DEPOSIT</t>
        </is>
      </c>
      <c r="C330" s="3">
        <v>4599.64</v>
      </c>
      <c r="E330" s="3">
        <v>4599.64</v>
      </c>
      <c r="F330" s="3">
        <v>29277.51</v>
      </c>
      <c r="H330" s="0" t="inlineStr">
        <is>
          <t xml:space="preserve">Meridian Commerce Bank ····3101</t>
        </is>
      </c>
      <c r="I330" s="0" t="str">
        <f>HYPERLINK("meridian-subpoena-2026-06.pdf#page=1","A-8 p.1 l.17")</f>
        <v>A-8 p.1 l.17</v>
      </c>
    </row>
    <row r="331">
      <c r="A331" s="2">
        <v>46181</v>
      </c>
      <c r="B331" s="0" t="inlineStr">
        <is>
          <t xml:space="preserve">ONLINE TRANSFER FROM SAV ...7712</t>
        </is>
      </c>
      <c r="C331" s="3">
        <v>4134.97</v>
      </c>
      <c r="E331" s="3">
        <v>4134.97</v>
      </c>
      <c r="F331" s="3">
        <v>33412.48</v>
      </c>
      <c r="H331" s="0" t="inlineStr">
        <is>
          <t xml:space="preserve">Meridian Commerce Bank ····3101</t>
        </is>
      </c>
      <c r="I331" s="0" t="str">
        <f>HYPERLINK("meridian-subpoena-2026-06.pdf#page=1","A-8 p.1 l.18")</f>
        <v>A-8 p.1 l.18</v>
      </c>
    </row>
    <row r="332">
      <c r="A332" s="2">
        <v>46181</v>
      </c>
      <c r="B332" s="0" t="inlineStr">
        <is>
          <t xml:space="preserve">ACH DEBIT FORWARD FINANCING REMIT</t>
        </is>
      </c>
      <c r="C332" s="3">
        <v>-449.0</v>
      </c>
      <c r="D332" s="3">
        <v>449.0</v>
      </c>
      <c r="F332" s="3">
        <v>32963.48</v>
      </c>
      <c r="H332" s="0" t="inlineStr">
        <is>
          <t xml:space="preserve">Meridian Commerce Bank ····3101</t>
        </is>
      </c>
      <c r="I332" s="0" t="str">
        <f>HYPERLINK("meridian-subpoena-2026-06.pdf#page=1","A-8 p.1 l.19")</f>
        <v>A-8 p.1 l.19</v>
      </c>
    </row>
    <row r="333">
      <c r="A333" s="2">
        <v>46181</v>
      </c>
      <c r="B333" s="0" t="inlineStr">
        <is>
          <t xml:space="preserve">POS PURCHASE SYSCO FOODS</t>
        </is>
      </c>
      <c r="C333" s="3">
        <v>-1987.82</v>
      </c>
      <c r="D333" s="3">
        <v>1987.82</v>
      </c>
      <c r="F333" s="3">
        <v>30975.66</v>
      </c>
      <c r="H333" s="0" t="inlineStr">
        <is>
          <t xml:space="preserve">Meridian Commerce Bank ····3101</t>
        </is>
      </c>
      <c r="I333" s="0" t="str">
        <f>HYPERLINK("meridian-subpoena-2026-06.pdf#page=1","A-8 p.1 l.20")</f>
        <v>A-8 p.1 l.20</v>
      </c>
    </row>
    <row r="334">
      <c r="A334" s="2">
        <v>46182</v>
      </c>
      <c r="B334" s="0" t="inlineStr">
        <is>
          <t xml:space="preserve">MERCHANT BANKCD DEPOSIT</t>
        </is>
      </c>
      <c r="C334" s="3">
        <v>3459.69</v>
      </c>
      <c r="E334" s="3">
        <v>3459.69</v>
      </c>
      <c r="F334" s="3">
        <v>34435.35</v>
      </c>
      <c r="H334" s="0" t="inlineStr">
        <is>
          <t xml:space="preserve">Meridian Commerce Bank ····3101</t>
        </is>
      </c>
      <c r="I334" s="0" t="str">
        <f>HYPERLINK("meridian-subpoena-2026-06.pdf#page=1","A-8 p.1 l.21")</f>
        <v>A-8 p.1 l.21</v>
      </c>
    </row>
    <row r="335">
      <c r="A335" s="2">
        <v>46182</v>
      </c>
      <c r="B335" s="0" t="inlineStr">
        <is>
          <t xml:space="preserve">ACH DEBIT FORWARD FINANCING REMIT</t>
        </is>
      </c>
      <c r="C335" s="3">
        <v>-449.0</v>
      </c>
      <c r="D335" s="3">
        <v>449.0</v>
      </c>
      <c r="F335" s="3">
        <v>33986.35</v>
      </c>
      <c r="H335" s="0" t="inlineStr">
        <is>
          <t xml:space="preserve">Meridian Commerce Bank ····3101</t>
        </is>
      </c>
      <c r="I335" s="0" t="str">
        <f>HYPERLINK("meridian-subpoena-2026-06.pdf#page=1","A-8 p.1 l.22")</f>
        <v>A-8 p.1 l.22</v>
      </c>
    </row>
    <row r="336">
      <c r="A336" s="2">
        <v>46183</v>
      </c>
      <c r="B336" s="0" t="inlineStr">
        <is>
          <t xml:space="preserve">SQUARE INC DEPOSIT</t>
        </is>
      </c>
      <c r="C336" s="3">
        <v>5225.87</v>
      </c>
      <c r="E336" s="3">
        <v>5225.87</v>
      </c>
      <c r="F336" s="3">
        <v>39212.22</v>
      </c>
      <c r="H336" s="0" t="inlineStr">
        <is>
          <t xml:space="preserve">Meridian Commerce Bank ····3101</t>
        </is>
      </c>
      <c r="I336" s="0" t="str">
        <f>HYPERLINK("meridian-subpoena-2026-06.pdf#page=1","A-8 p.1 l.23")</f>
        <v>A-8 p.1 l.23</v>
      </c>
    </row>
    <row r="337">
      <c r="A337" s="2">
        <v>46183</v>
      </c>
      <c r="B337" s="0" t="inlineStr">
        <is>
          <t xml:space="preserve">ACH DEBIT FORWARD FINANCING REMIT</t>
        </is>
      </c>
      <c r="C337" s="3">
        <v>-449.0</v>
      </c>
      <c r="D337" s="3">
        <v>449.0</v>
      </c>
      <c r="F337" s="3">
        <v>38763.22</v>
      </c>
      <c r="H337" s="0" t="inlineStr">
        <is>
          <t xml:space="preserve">Meridian Commerce Bank ····3101</t>
        </is>
      </c>
      <c r="I337" s="0" t="str">
        <f>HYPERLINK("meridian-subpoena-2026-06.pdf#page=1","A-8 p.1 l.24")</f>
        <v>A-8 p.1 l.24</v>
      </c>
    </row>
    <row r="338">
      <c r="A338" s="2">
        <v>46184</v>
      </c>
      <c r="B338" s="0" t="inlineStr">
        <is>
          <t xml:space="preserve">COUNTER DEPOSIT</t>
        </is>
      </c>
      <c r="C338" s="3">
        <v>5321.22</v>
      </c>
      <c r="E338" s="3">
        <v>5321.22</v>
      </c>
      <c r="F338" s="3">
        <v>44084.44</v>
      </c>
      <c r="H338" s="0" t="inlineStr">
        <is>
          <t xml:space="preserve">Meridian Commerce Bank ····3101</t>
        </is>
      </c>
      <c r="I338" s="0" t="str">
        <f>HYPERLINK("meridian-subpoena-2026-06.pdf#page=1","A-8 p.1 l.25")</f>
        <v>A-8 p.1 l.25</v>
      </c>
    </row>
    <row r="339">
      <c r="A339" s="2">
        <v>46184</v>
      </c>
      <c r="B339" s="0" t="inlineStr">
        <is>
          <t xml:space="preserve">ACH DEBIT FORWARD FINANCING REMIT</t>
        </is>
      </c>
      <c r="C339" s="3">
        <v>-449.0</v>
      </c>
      <c r="D339" s="3">
        <v>449.0</v>
      </c>
      <c r="F339" s="3">
        <v>43635.44</v>
      </c>
      <c r="H339" s="0" t="inlineStr">
        <is>
          <t xml:space="preserve">Meridian Commerce Bank ····3101</t>
        </is>
      </c>
      <c r="I339" s="0" t="str">
        <f>HYPERLINK("meridian-subpoena-2026-06.pdf#page=1","A-8 p.1 l.26")</f>
        <v>A-8 p.1 l.26</v>
      </c>
    </row>
    <row r="340">
      <c r="A340" s="2">
        <v>46184</v>
      </c>
      <c r="B340" s="0" t="inlineStr">
        <is>
          <t xml:space="preserve">POS PURCHASE ECOLAB SERVICES</t>
        </is>
      </c>
      <c r="C340" s="3">
        <v>-654.59</v>
      </c>
      <c r="D340" s="3">
        <v>654.59</v>
      </c>
      <c r="F340" s="3">
        <v>42980.85</v>
      </c>
      <c r="H340" s="0" t="inlineStr">
        <is>
          <t xml:space="preserve">Meridian Commerce Bank ····3101</t>
        </is>
      </c>
      <c r="I340" s="0" t="str">
        <f>HYPERLINK("meridian-subpoena-2026-06.pdf#page=1","A-8 p.1 l.27")</f>
        <v>A-8 p.1 l.27</v>
      </c>
    </row>
    <row r="341">
      <c r="A341" s="2">
        <v>46185</v>
      </c>
      <c r="B341" s="0" t="inlineStr">
        <is>
          <t xml:space="preserve">SQUARE INC DEPOSIT</t>
        </is>
      </c>
      <c r="C341" s="3">
        <v>2538.88</v>
      </c>
      <c r="E341" s="3">
        <v>2538.88</v>
      </c>
      <c r="F341" s="3">
        <v>45519.73</v>
      </c>
      <c r="H341" s="0" t="inlineStr">
        <is>
          <t xml:space="preserve">Meridian Commerce Bank ····3101</t>
        </is>
      </c>
      <c r="I341" s="0" t="str">
        <f>HYPERLINK("meridian-subpoena-2026-06.pdf#page=1","A-8 p.1 l.28")</f>
        <v>A-8 p.1 l.28</v>
      </c>
    </row>
    <row r="342">
      <c r="A342" s="2">
        <v>46185</v>
      </c>
      <c r="B342" s="0" t="inlineStr">
        <is>
          <t xml:space="preserve">ACH DEBIT FORWARD FINANCING REMIT</t>
        </is>
      </c>
      <c r="C342" s="3">
        <v>-449.0</v>
      </c>
      <c r="D342" s="3">
        <v>449.0</v>
      </c>
      <c r="F342" s="3">
        <v>45070.73</v>
      </c>
      <c r="H342" s="0" t="inlineStr">
        <is>
          <t xml:space="preserve">Meridian Commerce Bank ····3101</t>
        </is>
      </c>
      <c r="I342" s="0" t="str">
        <f>HYPERLINK("meridian-subpoena-2026-06.pdf#page=1","A-8 p.1 l.29")</f>
        <v>A-8 p.1 l.29</v>
      </c>
    </row>
    <row r="343">
      <c r="A343" s="2">
        <v>46185</v>
      </c>
      <c r="B343" s="0" t="inlineStr">
        <is>
          <t xml:space="preserve">POS PURCHASE WASTE MGMT</t>
        </is>
      </c>
      <c r="C343" s="3">
        <v>-2178.99</v>
      </c>
      <c r="D343" s="3">
        <v>2178.99</v>
      </c>
      <c r="F343" s="3">
        <v>42891.74</v>
      </c>
      <c r="H343" s="0" t="inlineStr">
        <is>
          <t xml:space="preserve">Meridian Commerce Bank ····3101</t>
        </is>
      </c>
      <c r="I343" s="0" t="str">
        <f>HYPERLINK("meridian-subpoena-2026-06.pdf#page=1","A-8 p.1 l.30")</f>
        <v>A-8 p.1 l.30</v>
      </c>
    </row>
    <row r="344">
      <c r="A344" s="2">
        <v>46185</v>
      </c>
      <c r="B344" s="0" t="inlineStr">
        <is>
          <t xml:space="preserve">POS PURCHASE RESTAURANT DEPOT</t>
        </is>
      </c>
      <c r="C344" s="3">
        <v>-2370.87</v>
      </c>
      <c r="D344" s="3">
        <v>2370.87</v>
      </c>
      <c r="F344" s="3">
        <v>40520.87</v>
      </c>
      <c r="H344" s="0" t="inlineStr">
        <is>
          <t xml:space="preserve">Meridian Commerce Bank ····3101</t>
        </is>
      </c>
      <c r="I344" s="0" t="str">
        <f>HYPERLINK("meridian-subpoena-2026-06.pdf#page=1","A-8 p.1 l.31")</f>
        <v>A-8 p.1 l.31</v>
      </c>
    </row>
    <row r="345">
      <c r="A345" s="2">
        <v>46185</v>
      </c>
      <c r="B345" s="0" t="inlineStr">
        <is>
          <t xml:space="preserve">PAYCHEX PAYROLL 00191</t>
        </is>
      </c>
      <c r="C345" s="3">
        <v>-3265.4</v>
      </c>
      <c r="D345" s="3">
        <v>3265.4</v>
      </c>
      <c r="F345" s="3">
        <v>37255.47</v>
      </c>
      <c r="H345" s="0" t="inlineStr">
        <is>
          <t xml:space="preserve">Meridian Commerce Bank ····3101</t>
        </is>
      </c>
      <c r="I345" s="0" t="str">
        <f>HYPERLINK("meridian-subpoena-2026-06.pdf#page=1","A-8 p.1 l.32")</f>
        <v>A-8 p.1 l.32</v>
      </c>
    </row>
    <row r="346">
      <c r="A346" s="2">
        <v>46186</v>
      </c>
      <c r="B346" s="0" t="inlineStr">
        <is>
          <t xml:space="preserve">POS PURCHASE CINTAS CORP</t>
        </is>
      </c>
      <c r="C346" s="3">
        <v>-845.46</v>
      </c>
      <c r="D346" s="3">
        <v>845.46</v>
      </c>
      <c r="F346" s="3">
        <v>36410.01</v>
      </c>
      <c r="H346" s="0" t="inlineStr">
        <is>
          <t xml:space="preserve">Meridian Commerce Bank ····3101</t>
        </is>
      </c>
      <c r="I346" s="0" t="str">
        <f>HYPERLINK("meridian-subpoena-2026-06.pdf#page=2","A-8 p.2 l.1")</f>
        <v>A-8 p.2 l.1</v>
      </c>
    </row>
    <row r="347">
      <c r="A347" s="2">
        <v>46186</v>
      </c>
      <c r="B347" s="0" t="inlineStr">
        <is>
          <t xml:space="preserve">POS PURCHASE SYSCO FOODS</t>
        </is>
      </c>
      <c r="C347" s="3">
        <v>-1099.4</v>
      </c>
      <c r="D347" s="3">
        <v>1099.4</v>
      </c>
      <c r="F347" s="3">
        <v>35310.61</v>
      </c>
      <c r="H347" s="0" t="inlineStr">
        <is>
          <t xml:space="preserve">Meridian Commerce Bank ····3101</t>
        </is>
      </c>
      <c r="I347" s="0" t="str">
        <f>HYPERLINK("meridian-subpoena-2026-06.pdf#page=2","A-8 p.2 l.2")</f>
        <v>A-8 p.2 l.2</v>
      </c>
    </row>
    <row r="348">
      <c r="A348" s="2">
        <v>46188</v>
      </c>
      <c r="B348" s="0" t="inlineStr">
        <is>
          <t xml:space="preserve">ACH DEBIT FORWARD FINANCING REMIT</t>
        </is>
      </c>
      <c r="C348" s="3">
        <v>-449.0</v>
      </c>
      <c r="D348" s="3">
        <v>449.0</v>
      </c>
      <c r="F348" s="3">
        <v>34861.61</v>
      </c>
      <c r="H348" s="0" t="inlineStr">
        <is>
          <t xml:space="preserve">Meridian Commerce Bank ····3101</t>
        </is>
      </c>
      <c r="I348" s="0" t="str">
        <f>HYPERLINK("meridian-subpoena-2026-06.pdf#page=2","A-8 p.2 l.3")</f>
        <v>A-8 p.2 l.3</v>
      </c>
    </row>
    <row r="349">
      <c r="A349" s="2">
        <v>46188</v>
      </c>
      <c r="B349" s="0" t="inlineStr">
        <is>
          <t xml:space="preserve">POS PURCHASE WASTE MGMT</t>
        </is>
      </c>
      <c r="C349" s="3">
        <v>-1709.46</v>
      </c>
      <c r="D349" s="3">
        <v>1709.46</v>
      </c>
      <c r="F349" s="3">
        <v>33152.15</v>
      </c>
      <c r="H349" s="0" t="inlineStr">
        <is>
          <t xml:space="preserve">Meridian Commerce Bank ····3101</t>
        </is>
      </c>
      <c r="I349" s="0" t="str">
        <f>HYPERLINK("meridian-subpoena-2026-06.pdf#page=2","A-8 p.2 l.4")</f>
        <v>A-8 p.2 l.4</v>
      </c>
    </row>
    <row r="350">
      <c r="A350" s="2">
        <v>46189</v>
      </c>
      <c r="B350" s="0" t="inlineStr">
        <is>
          <t xml:space="preserve">SQUARE INC DEPOSIT</t>
        </is>
      </c>
      <c r="C350" s="3">
        <v>2522.91</v>
      </c>
      <c r="E350" s="3">
        <v>2522.91</v>
      </c>
      <c r="F350" s="3">
        <v>35675.06</v>
      </c>
      <c r="H350" s="0" t="inlineStr">
        <is>
          <t xml:space="preserve">Meridian Commerce Bank ····3101</t>
        </is>
      </c>
      <c r="I350" s="0" t="str">
        <f>HYPERLINK("meridian-subpoena-2026-06.pdf#page=2","A-8 p.2 l.5")</f>
        <v>A-8 p.2 l.5</v>
      </c>
    </row>
    <row r="351">
      <c r="A351" s="2">
        <v>46189</v>
      </c>
      <c r="B351" s="0" t="inlineStr">
        <is>
          <t xml:space="preserve">ACH DEBIT FORWARD FINANCING REMIT</t>
        </is>
      </c>
      <c r="C351" s="3">
        <v>-449.0</v>
      </c>
      <c r="D351" s="3">
        <v>449.0</v>
      </c>
      <c r="F351" s="3">
        <v>35226.06</v>
      </c>
      <c r="H351" s="0" t="inlineStr">
        <is>
          <t xml:space="preserve">Meridian Commerce Bank ····3101</t>
        </is>
      </c>
      <c r="I351" s="0" t="str">
        <f>HYPERLINK("meridian-subpoena-2026-06.pdf#page=2","A-8 p.2 l.6")</f>
        <v>A-8 p.2 l.6</v>
      </c>
    </row>
    <row r="352">
      <c r="A352" s="2">
        <v>46189</v>
      </c>
      <c r="B352" s="0" t="inlineStr">
        <is>
          <t xml:space="preserve">POS PURCHASE US FOODS</t>
        </is>
      </c>
      <c r="C352" s="3">
        <v>-1810.33</v>
      </c>
      <c r="D352" s="3">
        <v>1810.33</v>
      </c>
      <c r="F352" s="3">
        <v>33415.73</v>
      </c>
      <c r="H352" s="0" t="inlineStr">
        <is>
          <t xml:space="preserve">Meridian Commerce Bank ····3101</t>
        </is>
      </c>
      <c r="I352" s="0" t="str">
        <f>HYPERLINK("meridian-subpoena-2026-06.pdf#page=2","A-8 p.2 l.7")</f>
        <v>A-8 p.2 l.7</v>
      </c>
    </row>
    <row r="353">
      <c r="A353" s="2">
        <v>46190</v>
      </c>
      <c r="B353" s="0" t="inlineStr">
        <is>
          <t xml:space="preserve">COUNTER DEPOSIT</t>
        </is>
      </c>
      <c r="C353" s="3">
        <v>2828.77</v>
      </c>
      <c r="E353" s="3">
        <v>2828.77</v>
      </c>
      <c r="F353" s="3">
        <v>36244.5</v>
      </c>
      <c r="H353" s="0" t="inlineStr">
        <is>
          <t xml:space="preserve">Meridian Commerce Bank ····3101</t>
        </is>
      </c>
      <c r="I353" s="0" t="str">
        <f>HYPERLINK("meridian-subpoena-2026-06.pdf#page=2","A-8 p.2 l.8")</f>
        <v>A-8 p.2 l.8</v>
      </c>
    </row>
    <row r="354">
      <c r="A354" s="2">
        <v>46190</v>
      </c>
      <c r="B354" s="0" t="inlineStr">
        <is>
          <t xml:space="preserve">ACH DEBIT FORWARD FINANCING REMIT</t>
        </is>
      </c>
      <c r="C354" s="3">
        <v>-449.0</v>
      </c>
      <c r="D354" s="3">
        <v>449.0</v>
      </c>
      <c r="F354" s="3">
        <v>35795.5</v>
      </c>
      <c r="H354" s="0" t="inlineStr">
        <is>
          <t xml:space="preserve">Meridian Commerce Bank ····3101</t>
        </is>
      </c>
      <c r="I354" s="0" t="str">
        <f>HYPERLINK("meridian-subpoena-2026-06.pdf#page=2","A-8 p.2 l.9")</f>
        <v>A-8 p.2 l.9</v>
      </c>
    </row>
    <row r="355">
      <c r="A355" s="2">
        <v>46191</v>
      </c>
      <c r="B355" s="0" t="inlineStr">
        <is>
          <t xml:space="preserve">COUNTER DEPOSIT</t>
        </is>
      </c>
      <c r="C355" s="3">
        <v>2753.08</v>
      </c>
      <c r="E355" s="3">
        <v>2753.08</v>
      </c>
      <c r="F355" s="3">
        <v>38548.58</v>
      </c>
      <c r="H355" s="0" t="inlineStr">
        <is>
          <t xml:space="preserve">Meridian Commerce Bank ····3101</t>
        </is>
      </c>
      <c r="I355" s="0" t="str">
        <f>HYPERLINK("meridian-subpoena-2026-06.pdf#page=2","A-8 p.2 l.10")</f>
        <v>A-8 p.2 l.10</v>
      </c>
    </row>
    <row r="356">
      <c r="A356" s="2">
        <v>46191</v>
      </c>
      <c r="B356" s="0" t="inlineStr">
        <is>
          <t xml:space="preserve">ACH DEBIT FORWARD FINANCING REMIT</t>
        </is>
      </c>
      <c r="C356" s="3">
        <v>-449.0</v>
      </c>
      <c r="D356" s="3">
        <v>449.0</v>
      </c>
      <c r="F356" s="3">
        <v>38099.58</v>
      </c>
      <c r="H356" s="0" t="inlineStr">
        <is>
          <t xml:space="preserve">Meridian Commerce Bank ····3101</t>
        </is>
      </c>
      <c r="I356" s="0" t="str">
        <f>HYPERLINK("meridian-subpoena-2026-06.pdf#page=2","A-8 p.2 l.11")</f>
        <v>A-8 p.2 l.11</v>
      </c>
    </row>
    <row r="357">
      <c r="A357" s="2">
        <v>46192</v>
      </c>
      <c r="B357" s="0" t="inlineStr">
        <is>
          <t xml:space="preserve">POS PURCHASE SYSCO FOODS</t>
        </is>
      </c>
      <c r="C357" s="3">
        <v>-2388.72</v>
      </c>
      <c r="D357" s="3">
        <v>2388.72</v>
      </c>
      <c r="F357" s="3">
        <v>35710.86</v>
      </c>
      <c r="H357" s="0" t="inlineStr">
        <is>
          <t xml:space="preserve">Meridian Commerce Bank ····3101</t>
        </is>
      </c>
      <c r="I357" s="0" t="str">
        <f>HYPERLINK("meridian-subpoena-2026-06.pdf#page=2","A-8 p.2 l.12")</f>
        <v>A-8 p.2 l.12</v>
      </c>
    </row>
    <row r="358">
      <c r="A358" s="2">
        <v>46195</v>
      </c>
      <c r="B358" s="0" t="inlineStr">
        <is>
          <t xml:space="preserve">COUNTER DEPOSIT</t>
        </is>
      </c>
      <c r="C358" s="3">
        <v>3082.34</v>
      </c>
      <c r="E358" s="3">
        <v>3082.34</v>
      </c>
      <c r="F358" s="3">
        <v>38793.2</v>
      </c>
      <c r="H358" s="0" t="inlineStr">
        <is>
          <t xml:space="preserve">Meridian Commerce Bank ····3101</t>
        </is>
      </c>
      <c r="I358" s="0" t="str">
        <f>HYPERLINK("meridian-subpoena-2026-06.pdf#page=2","A-8 p.2 l.13")</f>
        <v>A-8 p.2 l.13</v>
      </c>
    </row>
    <row r="359">
      <c r="A359" s="2">
        <v>46195</v>
      </c>
      <c r="B359" s="0" t="inlineStr">
        <is>
          <t xml:space="preserve">ACH DEBIT FORWARD FINANCING REMIT</t>
        </is>
      </c>
      <c r="C359" s="3">
        <v>-449.0</v>
      </c>
      <c r="D359" s="3">
        <v>449.0</v>
      </c>
      <c r="F359" s="3">
        <v>38344.2</v>
      </c>
      <c r="H359" s="0" t="inlineStr">
        <is>
          <t xml:space="preserve">Meridian Commerce Bank ····3101</t>
        </is>
      </c>
      <c r="I359" s="0" t="str">
        <f>HYPERLINK("meridian-subpoena-2026-06.pdf#page=2","A-8 p.2 l.14")</f>
        <v>A-8 p.2 l.14</v>
      </c>
    </row>
    <row r="360">
      <c r="A360" s="2">
        <v>46196</v>
      </c>
      <c r="B360" s="0" t="inlineStr">
        <is>
          <t xml:space="preserve">COUNTER DEPOSIT</t>
        </is>
      </c>
      <c r="C360" s="3">
        <v>3779.31</v>
      </c>
      <c r="E360" s="3">
        <v>3779.31</v>
      </c>
      <c r="F360" s="3">
        <v>42123.51</v>
      </c>
      <c r="H360" s="0" t="inlineStr">
        <is>
          <t xml:space="preserve">Meridian Commerce Bank ····3101</t>
        </is>
      </c>
      <c r="I360" s="0" t="str">
        <f>HYPERLINK("meridian-subpoena-2026-06.pdf#page=2","A-8 p.2 l.15")</f>
        <v>A-8 p.2 l.15</v>
      </c>
    </row>
    <row r="361">
      <c r="A361" s="2">
        <v>46196</v>
      </c>
      <c r="B361" s="0" t="inlineStr">
        <is>
          <t xml:space="preserve">ACH DEBIT FORWARD FINANCING REMIT</t>
        </is>
      </c>
      <c r="C361" s="3">
        <v>-449.0</v>
      </c>
      <c r="D361" s="3">
        <v>449.0</v>
      </c>
      <c r="F361" s="3">
        <v>41674.51</v>
      </c>
      <c r="H361" s="0" t="inlineStr">
        <is>
          <t xml:space="preserve">Meridian Commerce Bank ····3101</t>
        </is>
      </c>
      <c r="I361" s="0" t="str">
        <f>HYPERLINK("meridian-subpoena-2026-06.pdf#page=2","A-8 p.2 l.16")</f>
        <v>A-8 p.2 l.16</v>
      </c>
    </row>
    <row r="362">
      <c r="A362" s="2">
        <v>46197</v>
      </c>
      <c r="B362" s="0" t="inlineStr">
        <is>
          <t xml:space="preserve">COUNTER DEPOSIT</t>
        </is>
      </c>
      <c r="C362" s="3">
        <v>2229.13</v>
      </c>
      <c r="E362" s="3">
        <v>2229.13</v>
      </c>
      <c r="F362" s="3">
        <v>43903.64</v>
      </c>
      <c r="H362" s="0" t="inlineStr">
        <is>
          <t xml:space="preserve">Meridian Commerce Bank ····3101</t>
        </is>
      </c>
      <c r="I362" s="0" t="str">
        <f>HYPERLINK("meridian-subpoena-2026-06.pdf#page=2","A-8 p.2 l.17")</f>
        <v>A-8 p.2 l.17</v>
      </c>
    </row>
    <row r="363">
      <c r="A363" s="2">
        <v>46197</v>
      </c>
      <c r="B363" s="0" t="inlineStr">
        <is>
          <t xml:space="preserve">NSF RETURN ITEM FEE</t>
        </is>
      </c>
      <c r="C363" s="3">
        <v>-35.0</v>
      </c>
      <c r="D363" s="3">
        <v>35.0</v>
      </c>
      <c r="F363" s="3">
        <v>43868.64</v>
      </c>
      <c r="H363" s="0" t="inlineStr">
        <is>
          <t xml:space="preserve">Meridian Commerce Bank ····3101</t>
        </is>
      </c>
      <c r="I363" s="0" t="str">
        <f>HYPERLINK("meridian-subpoena-2026-06.pdf#page=2","A-8 p.2 l.18")</f>
        <v>A-8 p.2 l.18</v>
      </c>
    </row>
    <row r="364">
      <c r="A364" s="2">
        <v>46197</v>
      </c>
      <c r="B364" s="0" t="inlineStr">
        <is>
          <t xml:space="preserve">RETURNED ITEM - INSUFFICIENT FUNDS</t>
        </is>
      </c>
      <c r="C364" s="3">
        <v>-357.38</v>
      </c>
      <c r="D364" s="3">
        <v>357.38</v>
      </c>
      <c r="F364" s="3">
        <v>43511.26</v>
      </c>
      <c r="H364" s="0" t="inlineStr">
        <is>
          <t xml:space="preserve">Meridian Commerce Bank ····3101</t>
        </is>
      </c>
      <c r="I364" s="0" t="str">
        <f>HYPERLINK("meridian-subpoena-2026-06.pdf#page=2","A-8 p.2 l.19")</f>
        <v>A-8 p.2 l.19</v>
      </c>
    </row>
    <row r="365">
      <c r="A365" s="2">
        <v>46197</v>
      </c>
      <c r="B365" s="0" t="inlineStr">
        <is>
          <t xml:space="preserve">ACH DEBIT FORWARD FINANCING REMIT</t>
        </is>
      </c>
      <c r="C365" s="3">
        <v>-449.0</v>
      </c>
      <c r="D365" s="3">
        <v>449.0</v>
      </c>
      <c r="F365" s="3">
        <v>43062.26</v>
      </c>
      <c r="H365" s="0" t="inlineStr">
        <is>
          <t xml:space="preserve">Meridian Commerce Bank ····3101</t>
        </is>
      </c>
      <c r="I365" s="0" t="str">
        <f>HYPERLINK("meridian-subpoena-2026-06.pdf#page=2","A-8 p.2 l.20")</f>
        <v>A-8 p.2 l.20</v>
      </c>
    </row>
    <row r="366">
      <c r="A366" s="2">
        <v>46197</v>
      </c>
      <c r="B366" s="0" t="inlineStr">
        <is>
          <t xml:space="preserve">POS PURCHASE WASTE MGMT</t>
        </is>
      </c>
      <c r="C366" s="3">
        <v>-1054.29</v>
      </c>
      <c r="D366" s="3">
        <v>1054.29</v>
      </c>
      <c r="F366" s="3">
        <v>42007.97</v>
      </c>
      <c r="H366" s="0" t="inlineStr">
        <is>
          <t xml:space="preserve">Meridian Commerce Bank ····3101</t>
        </is>
      </c>
      <c r="I366" s="0" t="str">
        <f>HYPERLINK("meridian-subpoena-2026-06.pdf#page=2","A-8 p.2 l.21")</f>
        <v>A-8 p.2 l.21</v>
      </c>
    </row>
    <row r="367">
      <c r="A367" s="2">
        <v>46198</v>
      </c>
      <c r="B367" s="0" t="inlineStr">
        <is>
          <t xml:space="preserve">ACH DEBIT FORWARD FINANCING REMIT</t>
        </is>
      </c>
      <c r="C367" s="3">
        <v>-449.0</v>
      </c>
      <c r="D367" s="3">
        <v>449.0</v>
      </c>
      <c r="F367" s="3">
        <v>41558.97</v>
      </c>
      <c r="H367" s="0" t="inlineStr">
        <is>
          <t xml:space="preserve">Meridian Commerce Bank ····3101</t>
        </is>
      </c>
      <c r="I367" s="0" t="str">
        <f>HYPERLINK("meridian-subpoena-2026-06.pdf#page=2","A-8 p.2 l.22")</f>
        <v>A-8 p.2 l.22</v>
      </c>
    </row>
    <row r="368">
      <c r="A368" s="2">
        <v>46199</v>
      </c>
      <c r="B368" s="0" t="inlineStr">
        <is>
          <t xml:space="preserve">COUNTER DEPOSIT</t>
        </is>
      </c>
      <c r="C368" s="3">
        <v>4648.88</v>
      </c>
      <c r="E368" s="3">
        <v>4648.88</v>
      </c>
      <c r="F368" s="3">
        <v>46207.85</v>
      </c>
      <c r="H368" s="0" t="inlineStr">
        <is>
          <t xml:space="preserve">Meridian Commerce Bank ····3101</t>
        </is>
      </c>
      <c r="I368" s="0" t="str">
        <f>HYPERLINK("meridian-subpoena-2026-06.pdf#page=2","A-8 p.2 l.23")</f>
        <v>A-8 p.2 l.23</v>
      </c>
    </row>
    <row r="369">
      <c r="A369" s="2">
        <v>46199</v>
      </c>
      <c r="B369" s="0" t="inlineStr">
        <is>
          <t xml:space="preserve">ACH DEBIT FORWARD FINANCING REMIT</t>
        </is>
      </c>
      <c r="C369" s="3">
        <v>-449.0</v>
      </c>
      <c r="D369" s="3">
        <v>449.0</v>
      </c>
      <c r="F369" s="3">
        <v>45758.85</v>
      </c>
      <c r="H369" s="0" t="inlineStr">
        <is>
          <t xml:space="preserve">Meridian Commerce Bank ····3101</t>
        </is>
      </c>
      <c r="I369" s="0" t="str">
        <f>HYPERLINK("meridian-subpoena-2026-06.pdf#page=2","A-8 p.2 l.24")</f>
        <v>A-8 p.2 l.24</v>
      </c>
    </row>
    <row r="370">
      <c r="A370" s="2">
        <v>46199</v>
      </c>
      <c r="B370" s="0" t="inlineStr">
        <is>
          <t xml:space="preserve">PAYCHEX PAYROLL 00192</t>
        </is>
      </c>
      <c r="C370" s="3">
        <v>-3265.4</v>
      </c>
      <c r="D370" s="3">
        <v>3265.4</v>
      </c>
      <c r="F370" s="3">
        <v>42493.45</v>
      </c>
      <c r="H370" s="0" t="inlineStr">
        <is>
          <t xml:space="preserve">Meridian Commerce Bank ····3101</t>
        </is>
      </c>
      <c r="I370" s="0" t="str">
        <f>HYPERLINK("meridian-subpoena-2026-06.pdf#page=2","A-8 p.2 l.25")</f>
        <v>A-8 p.2 l.25</v>
      </c>
    </row>
    <row r="371">
      <c r="A371" s="2">
        <v>46201</v>
      </c>
      <c r="B371" s="0" t="inlineStr">
        <is>
          <t xml:space="preserve">POS PURCHASE SYSCO FOODS</t>
        </is>
      </c>
      <c r="C371" s="3">
        <v>-2208.08</v>
      </c>
      <c r="D371" s="3">
        <v>2208.08</v>
      </c>
      <c r="F371" s="3">
        <v>40285.37</v>
      </c>
      <c r="H371" s="0" t="inlineStr">
        <is>
          <t xml:space="preserve">Meridian Commerce Bank ····3101</t>
        </is>
      </c>
      <c r="I371" s="0" t="str">
        <f>HYPERLINK("meridian-subpoena-2026-06.pdf#page=2","A-8 p.2 l.26")</f>
        <v>A-8 p.2 l.26</v>
      </c>
    </row>
    <row r="372">
      <c r="A372" s="2">
        <v>46202</v>
      </c>
      <c r="B372" s="0" t="inlineStr">
        <is>
          <t xml:space="preserve">COUNTER DEPOSIT</t>
        </is>
      </c>
      <c r="C372" s="3">
        <v>2757.74</v>
      </c>
      <c r="E372" s="3">
        <v>2757.74</v>
      </c>
      <c r="F372" s="3">
        <v>43043.11</v>
      </c>
      <c r="H372" s="0" t="inlineStr">
        <is>
          <t xml:space="preserve">Meridian Commerce Bank ····3101</t>
        </is>
      </c>
      <c r="I372" s="0" t="str">
        <f>HYPERLINK("meridian-subpoena-2026-06.pdf#page=2","A-8 p.2 l.27")</f>
        <v>A-8 p.2 l.27</v>
      </c>
    </row>
    <row r="373">
      <c r="A373" s="2">
        <v>46202</v>
      </c>
      <c r="B373" s="0" t="inlineStr">
        <is>
          <t xml:space="preserve">ACH DEBIT FORWARD FINANCING REMIT</t>
        </is>
      </c>
      <c r="C373" s="3">
        <v>-449.0</v>
      </c>
      <c r="D373" s="3">
        <v>449.0</v>
      </c>
      <c r="F373" s="3">
        <v>42594.11</v>
      </c>
      <c r="H373" s="0" t="inlineStr">
        <is>
          <t xml:space="preserve">Meridian Commerce Bank ····3101</t>
        </is>
      </c>
      <c r="I373" s="0" t="str">
        <f>HYPERLINK("meridian-subpoena-2026-06.pdf#page=2","A-8 p.2 l.28")</f>
        <v>A-8 p.2 l.28</v>
      </c>
    </row>
    <row r="374">
      <c r="A374" s="2">
        <v>46202</v>
      </c>
      <c r="B374" s="0" t="inlineStr">
        <is>
          <t xml:space="preserve">POS PURCHASE US FOODS</t>
        </is>
      </c>
      <c r="C374" s="3">
        <v>-1389.61</v>
      </c>
      <c r="D374" s="3">
        <v>1389.61</v>
      </c>
      <c r="F374" s="3">
        <v>41204.5</v>
      </c>
      <c r="H374" s="0" t="inlineStr">
        <is>
          <t xml:space="preserve">Meridian Commerce Bank ····3101</t>
        </is>
      </c>
      <c r="I374" s="0" t="str">
        <f>HYPERLINK("meridian-subpoena-2026-06.pdf#page=2","A-8 p.2 l.29")</f>
        <v>A-8 p.2 l.29</v>
      </c>
    </row>
    <row r="375">
      <c r="A375" s="2">
        <v>46202</v>
      </c>
      <c r="B375" s="0" t="inlineStr">
        <is>
          <t xml:space="preserve">POS PURCHASE SYSCO FOODS</t>
        </is>
      </c>
      <c r="C375" s="3">
        <v>-2360.25</v>
      </c>
      <c r="D375" s="3">
        <v>2360.25</v>
      </c>
      <c r="F375" s="3">
        <v>38844.25</v>
      </c>
      <c r="H375" s="0" t="inlineStr">
        <is>
          <t xml:space="preserve">Meridian Commerce Bank ····3101</t>
        </is>
      </c>
      <c r="I375" s="0" t="str">
        <f>HYPERLINK("meridian-subpoena-2026-06.pdf#page=2","A-8 p.2 l.30")</f>
        <v>A-8 p.2 l.30</v>
      </c>
    </row>
    <row r="376">
      <c r="A376" s="2">
        <v>46203</v>
      </c>
      <c r="B376" s="0" t="inlineStr">
        <is>
          <t xml:space="preserve">MERCHANT BANKCD DEPOSIT</t>
        </is>
      </c>
      <c r="C376" s="3">
        <v>3659.43</v>
      </c>
      <c r="E376" s="3">
        <v>3659.43</v>
      </c>
      <c r="F376" s="3">
        <v>42503.68</v>
      </c>
      <c r="H376" s="0" t="inlineStr">
        <is>
          <t xml:space="preserve">Meridian Commerce Bank ····3101</t>
        </is>
      </c>
      <c r="I376" s="0" t="str">
        <f>HYPERLINK("meridian-subpoena-2026-06.pdf#page=2","A-8 p.2 l.31")</f>
        <v>A-8 p.2 l.31</v>
      </c>
    </row>
    <row r="377">
      <c r="A377" s="2">
        <v>46203</v>
      </c>
      <c r="B377" s="0" t="inlineStr">
        <is>
          <t xml:space="preserve">ACH DEBIT FORWARD FINANCING REMIT</t>
        </is>
      </c>
      <c r="C377" s="3">
        <v>-449.0</v>
      </c>
      <c r="D377" s="3">
        <v>449.0</v>
      </c>
      <c r="F377" s="3">
        <v>42054.68</v>
      </c>
      <c r="H377" s="0" t="inlineStr">
        <is>
          <t xml:space="preserve">Meridian Commerce Bank ····3101</t>
        </is>
      </c>
      <c r="I377" s="0" t="str">
        <f>HYPERLINK("meridian-subpoena-2026-06.pdf#page=2","A-8 p.2 l.32")</f>
        <v>A-8 p.2 l.32</v>
      </c>
    </row>
    <row r="378">
      <c r="A378" s="2">
        <v>46204</v>
      </c>
      <c r="B378" s="0" t="inlineStr">
        <is>
          <t xml:space="preserve">COUNTER DEPOSIT</t>
        </is>
      </c>
      <c r="C378" s="3">
        <v>4095.37</v>
      </c>
      <c r="E378" s="3">
        <v>4095.37</v>
      </c>
      <c r="F378" s="3">
        <v>46150.05</v>
      </c>
      <c r="H378" s="0" t="inlineStr">
        <is>
          <t xml:space="preserve">Meridian Commerce Bank ····3101</t>
        </is>
      </c>
      <c r="I378" s="0" t="str">
        <f>HYPERLINK("meridian-subpoena-2026-07.pdf#page=1","A-9 p.1 l.1")</f>
        <v>A-9 p.1 l.1</v>
      </c>
    </row>
    <row r="379">
      <c r="A379" s="2">
        <v>46204</v>
      </c>
      <c r="B379" s="0" t="inlineStr">
        <is>
          <t xml:space="preserve">ACH DEBIT FORWARD FINANCING REMIT</t>
        </is>
      </c>
      <c r="C379" s="3">
        <v>-449.0</v>
      </c>
      <c r="D379" s="3">
        <v>449.0</v>
      </c>
      <c r="F379" s="3">
        <v>45701.05</v>
      </c>
      <c r="H379" s="0" t="inlineStr">
        <is>
          <t xml:space="preserve">Meridian Commerce Bank ····3101</t>
        </is>
      </c>
      <c r="I379" s="0" t="str">
        <f>HYPERLINK("meridian-subpoena-2026-07.pdf#page=1","A-9 p.1 l.2")</f>
        <v>A-9 p.1 l.2</v>
      </c>
    </row>
    <row r="380">
      <c r="A380" s="2">
        <v>46204</v>
      </c>
      <c r="B380" s="0" t="inlineStr">
        <is>
          <t xml:space="preserve">ACH DEBIT HARBOR LINE PROPERTIES</t>
        </is>
      </c>
      <c r="C380" s="3">
        <v>-5200.0</v>
      </c>
      <c r="D380" s="3">
        <v>5200.0</v>
      </c>
      <c r="F380" s="3">
        <v>40501.05</v>
      </c>
      <c r="H380" s="0" t="inlineStr">
        <is>
          <t xml:space="preserve">Meridian Commerce Bank ····3101</t>
        </is>
      </c>
      <c r="I380" s="0" t="str">
        <f>HYPERLINK("meridian-subpoena-2026-07.pdf#page=1","A-9 p.1 l.3")</f>
        <v>A-9 p.1 l.3</v>
      </c>
    </row>
    <row r="381">
      <c r="A381" s="2">
        <v>46205</v>
      </c>
      <c r="B381" s="0" t="inlineStr">
        <is>
          <t xml:space="preserve">MERCHANT BANKCD DEPOSIT</t>
        </is>
      </c>
      <c r="C381" s="3">
        <v>4324.49</v>
      </c>
      <c r="E381" s="3">
        <v>4324.49</v>
      </c>
      <c r="F381" s="3">
        <v>44825.54</v>
      </c>
      <c r="H381" s="0" t="inlineStr">
        <is>
          <t xml:space="preserve">Meridian Commerce Bank ····3101</t>
        </is>
      </c>
      <c r="I381" s="0" t="str">
        <f>HYPERLINK("meridian-subpoena-2026-07.pdf#page=1","A-9 p.1 l.4")</f>
        <v>A-9 p.1 l.4</v>
      </c>
    </row>
    <row r="382">
      <c r="A382" s="2">
        <v>46205</v>
      </c>
      <c r="B382" s="0" t="inlineStr">
        <is>
          <t xml:space="preserve">ACH DEBIT FORWARD FINANCING REMIT</t>
        </is>
      </c>
      <c r="C382" s="3">
        <v>-449.0</v>
      </c>
      <c r="D382" s="3">
        <v>449.0</v>
      </c>
      <c r="F382" s="3">
        <v>44376.54</v>
      </c>
      <c r="H382" s="0" t="inlineStr">
        <is>
          <t xml:space="preserve">Meridian Commerce Bank ····3101</t>
        </is>
      </c>
      <c r="I382" s="0" t="str">
        <f>HYPERLINK("meridian-subpoena-2026-07.pdf#page=1","A-9 p.1 l.5")</f>
        <v>A-9 p.1 l.5</v>
      </c>
    </row>
    <row r="383">
      <c r="A383" s="2">
        <v>46205</v>
      </c>
      <c r="B383" s="0" t="inlineStr">
        <is>
          <t xml:space="preserve">POS PURCHASE PEPSI BOTTLING</t>
        </is>
      </c>
      <c r="C383" s="3">
        <v>-820.6</v>
      </c>
      <c r="D383" s="3">
        <v>820.6</v>
      </c>
      <c r="F383" s="3">
        <v>43555.94</v>
      </c>
      <c r="H383" s="0" t="inlineStr">
        <is>
          <t xml:space="preserve">Meridian Commerce Bank ····3101</t>
        </is>
      </c>
      <c r="I383" s="0" t="str">
        <f>HYPERLINK("meridian-subpoena-2026-07.pdf#page=1","A-9 p.1 l.6")</f>
        <v>A-9 p.1 l.6</v>
      </c>
    </row>
    <row r="384">
      <c r="A384" s="2">
        <v>46206</v>
      </c>
      <c r="B384" s="0" t="inlineStr">
        <is>
          <t xml:space="preserve">SQUARE INC DEPOSIT</t>
        </is>
      </c>
      <c r="C384" s="3">
        <v>3142.37</v>
      </c>
      <c r="E384" s="3">
        <v>3142.37</v>
      </c>
      <c r="F384" s="3">
        <v>46698.31</v>
      </c>
      <c r="H384" s="0" t="inlineStr">
        <is>
          <t xml:space="preserve">Meridian Commerce Bank ····3101</t>
        </is>
      </c>
      <c r="I384" s="0" t="str">
        <f>HYPERLINK("meridian-subpoena-2026-07.pdf#page=1","A-9 p.1 l.7")</f>
        <v>A-9 p.1 l.7</v>
      </c>
    </row>
    <row r="385">
      <c r="A385" s="2">
        <v>46206</v>
      </c>
      <c r="B385" s="0" t="inlineStr">
        <is>
          <t xml:space="preserve">ACH DEBIT FORWARD FINANCING REMIT</t>
        </is>
      </c>
      <c r="C385" s="3">
        <v>-449.0</v>
      </c>
      <c r="D385" s="3">
        <v>449.0</v>
      </c>
      <c r="F385" s="3">
        <v>46249.31</v>
      </c>
      <c r="H385" s="0" t="inlineStr">
        <is>
          <t xml:space="preserve">Meridian Commerce Bank ····3101</t>
        </is>
      </c>
      <c r="I385" s="0" t="str">
        <f>HYPERLINK("meridian-subpoena-2026-07.pdf#page=1","A-9 p.1 l.8")</f>
        <v>A-9 p.1 l.8</v>
      </c>
    </row>
    <row r="386">
      <c r="A386" s="2">
        <v>46206</v>
      </c>
      <c r="B386" s="0" t="inlineStr">
        <is>
          <t xml:space="preserve">PAYCHEX PAYROLL 00195</t>
        </is>
      </c>
      <c r="C386" s="3">
        <v>-3265.4</v>
      </c>
      <c r="D386" s="3">
        <v>3265.4</v>
      </c>
      <c r="F386" s="3">
        <v>42983.91</v>
      </c>
      <c r="H386" s="0" t="inlineStr">
        <is>
          <t xml:space="preserve">Meridian Commerce Bank ····3101</t>
        </is>
      </c>
      <c r="I386" s="0" t="str">
        <f>HYPERLINK("meridian-subpoena-2026-07.pdf#page=1","A-9 p.1 l.9")</f>
        <v>A-9 p.1 l.9</v>
      </c>
    </row>
    <row r="387">
      <c r="A387" s="2">
        <v>46208</v>
      </c>
      <c r="B387" s="0" t="inlineStr">
        <is>
          <t xml:space="preserve">POS PURCHASE SYSCO FOODS</t>
        </is>
      </c>
      <c r="C387" s="3">
        <v>-1819.74</v>
      </c>
      <c r="D387" s="3">
        <v>1819.74</v>
      </c>
      <c r="F387" s="3">
        <v>41164.17</v>
      </c>
      <c r="H387" s="0" t="inlineStr">
        <is>
          <t xml:space="preserve">Meridian Commerce Bank ····3101</t>
        </is>
      </c>
      <c r="I387" s="0" t="str">
        <f>HYPERLINK("meridian-subpoena-2026-07.pdf#page=1","A-9 p.1 l.10")</f>
        <v>A-9 p.1 l.10</v>
      </c>
    </row>
    <row r="388">
      <c r="A388" s="2">
        <v>46209</v>
      </c>
      <c r="B388" s="0" t="inlineStr">
        <is>
          <t xml:space="preserve">MERCHANT BANKCD DEPOSIT</t>
        </is>
      </c>
      <c r="C388" s="3">
        <v>3254.9</v>
      </c>
      <c r="E388" s="3">
        <v>3254.9</v>
      </c>
      <c r="F388" s="3">
        <v>44419.07</v>
      </c>
      <c r="H388" s="0" t="inlineStr">
        <is>
          <t xml:space="preserve">Meridian Commerce Bank ····3101</t>
        </is>
      </c>
      <c r="I388" s="0" t="str">
        <f>HYPERLINK("meridian-subpoena-2026-07.pdf#page=1","A-9 p.1 l.11")</f>
        <v>A-9 p.1 l.11</v>
      </c>
    </row>
    <row r="389">
      <c r="A389" s="2">
        <v>46209</v>
      </c>
      <c r="B389" s="0" t="inlineStr">
        <is>
          <t xml:space="preserve">POS PURCHASE SHELL OIL</t>
        </is>
      </c>
      <c r="C389" s="3">
        <v>-432.06</v>
      </c>
      <c r="D389" s="3">
        <v>432.06</v>
      </c>
      <c r="F389" s="3">
        <v>43987.01</v>
      </c>
      <c r="H389" s="0" t="inlineStr">
        <is>
          <t xml:space="preserve">Meridian Commerce Bank ····3101</t>
        </is>
      </c>
      <c r="I389" s="0" t="str">
        <f>HYPERLINK("meridian-subpoena-2026-07.pdf#page=1","A-9 p.1 l.12")</f>
        <v>A-9 p.1 l.12</v>
      </c>
    </row>
    <row r="390">
      <c r="A390" s="2">
        <v>46209</v>
      </c>
      <c r="B390" s="0" t="inlineStr">
        <is>
          <t xml:space="preserve">ACH DEBIT FORWARD FINANCING REMIT</t>
        </is>
      </c>
      <c r="C390" s="3">
        <v>-449.0</v>
      </c>
      <c r="D390" s="3">
        <v>449.0</v>
      </c>
      <c r="F390" s="3">
        <v>43538.01</v>
      </c>
      <c r="H390" s="0" t="inlineStr">
        <is>
          <t xml:space="preserve">Meridian Commerce Bank ····3101</t>
        </is>
      </c>
      <c r="I390" s="0" t="str">
        <f>HYPERLINK("meridian-subpoena-2026-07.pdf#page=1","A-9 p.1 l.13")</f>
        <v>A-9 p.1 l.13</v>
      </c>
    </row>
    <row r="391">
      <c r="A391" s="2">
        <v>46209</v>
      </c>
      <c r="B391" s="0" t="inlineStr">
        <is>
          <t xml:space="preserve">POS PURCHASE SYSCO FOODS</t>
        </is>
      </c>
      <c r="C391" s="3">
        <v>-1589.11</v>
      </c>
      <c r="D391" s="3">
        <v>1589.11</v>
      </c>
      <c r="F391" s="3">
        <v>41948.9</v>
      </c>
      <c r="H391" s="0" t="inlineStr">
        <is>
          <t xml:space="preserve">Meridian Commerce Bank ····3101</t>
        </is>
      </c>
      <c r="I391" s="0" t="str">
        <f>HYPERLINK("meridian-subpoena-2026-07.pdf#page=1","A-9 p.1 l.14")</f>
        <v>A-9 p.1 l.14</v>
      </c>
    </row>
    <row r="392">
      <c r="A392" s="2">
        <v>46209</v>
      </c>
      <c r="B392" s="0" t="inlineStr">
        <is>
          <t xml:space="preserve">POS PURCHASE ECOLAB SERVICES</t>
        </is>
      </c>
      <c r="C392" s="3">
        <v>-1932.35</v>
      </c>
      <c r="D392" s="3">
        <v>1932.35</v>
      </c>
      <c r="F392" s="3">
        <v>40016.55</v>
      </c>
      <c r="H392" s="0" t="inlineStr">
        <is>
          <t xml:space="preserve">Meridian Commerce Bank ····3101</t>
        </is>
      </c>
      <c r="I392" s="0" t="str">
        <f>HYPERLINK("meridian-subpoena-2026-07.pdf#page=1","A-9 p.1 l.15")</f>
        <v>A-9 p.1 l.15</v>
      </c>
    </row>
    <row r="393">
      <c r="A393" s="2">
        <v>46210</v>
      </c>
      <c r="B393" s="0" t="inlineStr">
        <is>
          <t xml:space="preserve">ONLINE TRANSFER FROM SAV ...7712</t>
        </is>
      </c>
      <c r="C393" s="3">
        <v>4501.95</v>
      </c>
      <c r="E393" s="3">
        <v>4501.95</v>
      </c>
      <c r="F393" s="3">
        <v>44518.5</v>
      </c>
      <c r="H393" s="0" t="inlineStr">
        <is>
          <t xml:space="preserve">Meridian Commerce Bank ····3101</t>
        </is>
      </c>
      <c r="I393" s="0" t="str">
        <f>HYPERLINK("meridian-subpoena-2026-07.pdf#page=1","A-9 p.1 l.16")</f>
        <v>A-9 p.1 l.16</v>
      </c>
    </row>
    <row r="394">
      <c r="A394" s="2">
        <v>46210</v>
      </c>
      <c r="B394" s="0" t="inlineStr">
        <is>
          <t xml:space="preserve">ACH DEBIT FORWARD FINANCING REMIT</t>
        </is>
      </c>
      <c r="C394" s="3">
        <v>-449.0</v>
      </c>
      <c r="D394" s="3">
        <v>449.0</v>
      </c>
      <c r="F394" s="3">
        <v>44069.5</v>
      </c>
      <c r="H394" s="0" t="inlineStr">
        <is>
          <t xml:space="preserve">Meridian Commerce Bank ····3101</t>
        </is>
      </c>
      <c r="I394" s="0" t="str">
        <f>HYPERLINK("meridian-subpoena-2026-07.pdf#page=1","A-9 p.1 l.17")</f>
        <v>A-9 p.1 l.17</v>
      </c>
    </row>
    <row r="395">
      <c r="A395" s="2">
        <v>46211</v>
      </c>
      <c r="B395" s="0" t="inlineStr">
        <is>
          <t xml:space="preserve">SQUARE INC DEPOSIT</t>
        </is>
      </c>
      <c r="C395" s="3">
        <v>4365.6</v>
      </c>
      <c r="E395" s="3">
        <v>4365.6</v>
      </c>
      <c r="F395" s="3">
        <v>48435.1</v>
      </c>
      <c r="H395" s="0" t="inlineStr">
        <is>
          <t xml:space="preserve">Meridian Commerce Bank ····3101</t>
        </is>
      </c>
      <c r="I395" s="0" t="str">
        <f>HYPERLINK("meridian-subpoena-2026-07.pdf#page=1","A-9 p.1 l.18")</f>
        <v>A-9 p.1 l.18</v>
      </c>
    </row>
    <row r="396">
      <c r="A396" s="2">
        <v>46211</v>
      </c>
      <c r="B396" s="0" t="inlineStr">
        <is>
          <t xml:space="preserve">ACH DEBIT FORWARD FINANCING REMIT</t>
        </is>
      </c>
      <c r="C396" s="3">
        <v>-449.0</v>
      </c>
      <c r="D396" s="3">
        <v>449.0</v>
      </c>
      <c r="F396" s="3">
        <v>47986.1</v>
      </c>
      <c r="H396" s="0" t="inlineStr">
        <is>
          <t xml:space="preserve">Meridian Commerce Bank ····3101</t>
        </is>
      </c>
      <c r="I396" s="0" t="str">
        <f>HYPERLINK("meridian-subpoena-2026-07.pdf#page=1","A-9 p.1 l.19")</f>
        <v>A-9 p.1 l.19</v>
      </c>
    </row>
    <row r="397">
      <c r="A397" s="2">
        <v>46211</v>
      </c>
      <c r="B397" s="0" t="inlineStr">
        <is>
          <t xml:space="preserve">POS PURCHASE PEPSI BOTTLING</t>
        </is>
      </c>
      <c r="C397" s="3">
        <v>-1659.7</v>
      </c>
      <c r="D397" s="3">
        <v>1659.7</v>
      </c>
      <c r="F397" s="3">
        <v>46326.4</v>
      </c>
      <c r="H397" s="0" t="inlineStr">
        <is>
          <t xml:space="preserve">Meridian Commerce Bank ····3101</t>
        </is>
      </c>
      <c r="I397" s="0" t="str">
        <f>HYPERLINK("meridian-subpoena-2026-07.pdf#page=1","A-9 p.1 l.20")</f>
        <v>A-9 p.1 l.20</v>
      </c>
    </row>
    <row r="398">
      <c r="A398" s="2">
        <v>46212</v>
      </c>
      <c r="B398" s="0" t="inlineStr">
        <is>
          <t xml:space="preserve">COUNTER DEPOSIT</t>
        </is>
      </c>
      <c r="C398" s="3">
        <v>2981.92</v>
      </c>
      <c r="E398" s="3">
        <v>2981.92</v>
      </c>
      <c r="F398" s="3">
        <v>49308.32</v>
      </c>
      <c r="H398" s="0" t="inlineStr">
        <is>
          <t xml:space="preserve">Meridian Commerce Bank ····3101</t>
        </is>
      </c>
      <c r="I398" s="0" t="str">
        <f>HYPERLINK("meridian-subpoena-2026-07.pdf#page=1","A-9 p.1 l.21")</f>
        <v>A-9 p.1 l.21</v>
      </c>
    </row>
    <row r="399">
      <c r="A399" s="2">
        <v>46212</v>
      </c>
      <c r="B399" s="0" t="inlineStr">
        <is>
          <t xml:space="preserve">ACH DEBIT FORWARD FINANCING REMIT</t>
        </is>
      </c>
      <c r="C399" s="3">
        <v>-449.0</v>
      </c>
      <c r="D399" s="3">
        <v>449.0</v>
      </c>
      <c r="F399" s="3">
        <v>48859.32</v>
      </c>
      <c r="H399" s="0" t="inlineStr">
        <is>
          <t xml:space="preserve">Meridian Commerce Bank ····3101</t>
        </is>
      </c>
      <c r="I399" s="0" t="str">
        <f>HYPERLINK("meridian-subpoena-2026-07.pdf#page=1","A-9 p.1 l.22")</f>
        <v>A-9 p.1 l.22</v>
      </c>
    </row>
    <row r="400">
      <c r="A400" s="2">
        <v>46213</v>
      </c>
      <c r="B400" s="0" t="inlineStr">
        <is>
          <t xml:space="preserve">COUNTER DEPOSIT</t>
        </is>
      </c>
      <c r="C400" s="3">
        <v>3681.89</v>
      </c>
      <c r="E400" s="3">
        <v>3681.89</v>
      </c>
      <c r="F400" s="3">
        <v>52541.21</v>
      </c>
      <c r="H400" s="0" t="inlineStr">
        <is>
          <t xml:space="preserve">Meridian Commerce Bank ····3101</t>
        </is>
      </c>
      <c r="I400" s="0" t="str">
        <f>HYPERLINK("meridian-subpoena-2026-07.pdf#page=1","A-9 p.1 l.23")</f>
        <v>A-9 p.1 l.23</v>
      </c>
    </row>
    <row r="401">
      <c r="A401" s="2">
        <v>46213</v>
      </c>
      <c r="B401" s="0" t="inlineStr">
        <is>
          <t xml:space="preserve">ACH DEBIT FORWARD FINANCING REMIT</t>
        </is>
      </c>
      <c r="C401" s="3">
        <v>-449.0</v>
      </c>
      <c r="D401" s="3">
        <v>449.0</v>
      </c>
      <c r="F401" s="3">
        <v>52092.21</v>
      </c>
      <c r="H401" s="0" t="inlineStr">
        <is>
          <t xml:space="preserve">Meridian Commerce Bank ····3101</t>
        </is>
      </c>
      <c r="I401" s="0" t="str">
        <f>HYPERLINK("meridian-subpoena-2026-07.pdf#page=1","A-9 p.1 l.24")</f>
        <v>A-9 p.1 l.24</v>
      </c>
    </row>
    <row r="402">
      <c r="A402" s="2">
        <v>46213</v>
      </c>
      <c r="B402" s="0" t="inlineStr">
        <is>
          <t xml:space="preserve">PAYCHEX PAYROLL 00196</t>
        </is>
      </c>
      <c r="C402" s="3">
        <v>-3265.4</v>
      </c>
      <c r="D402" s="3">
        <v>3265.4</v>
      </c>
      <c r="F402" s="3">
        <v>48826.81</v>
      </c>
      <c r="H402" s="0" t="inlineStr">
        <is>
          <t xml:space="preserve">Meridian Commerce Bank ····3101</t>
        </is>
      </c>
      <c r="I402" s="0" t="str">
        <f>HYPERLINK("meridian-subpoena-2026-07.pdf#page=1","A-9 p.1 l.25")</f>
        <v>A-9 p.1 l.25</v>
      </c>
    </row>
    <row r="403">
      <c r="A403" s="2">
        <v>46216</v>
      </c>
      <c r="B403" s="0" t="inlineStr">
        <is>
          <t xml:space="preserve">MERCHANT BANKCD DEPOSIT</t>
        </is>
      </c>
      <c r="C403" s="3">
        <v>3478.26</v>
      </c>
      <c r="E403" s="3">
        <v>3478.26</v>
      </c>
      <c r="F403" s="3">
        <v>52305.07</v>
      </c>
      <c r="H403" s="0" t="inlineStr">
        <is>
          <t xml:space="preserve">Meridian Commerce Bank ····3101</t>
        </is>
      </c>
      <c r="I403" s="0" t="str">
        <f>HYPERLINK("meridian-subpoena-2026-07.pdf#page=1","A-9 p.1 l.26")</f>
        <v>A-9 p.1 l.26</v>
      </c>
    </row>
    <row r="404">
      <c r="A404" s="2">
        <v>46216</v>
      </c>
      <c r="B404" s="0" t="inlineStr">
        <is>
          <t xml:space="preserve">ACH DEBIT FORWARD FINANCING REMIT</t>
        </is>
      </c>
      <c r="C404" s="3">
        <v>-449.0</v>
      </c>
      <c r="D404" s="3">
        <v>449.0</v>
      </c>
      <c r="F404" s="3">
        <v>51856.07</v>
      </c>
      <c r="H404" s="0" t="inlineStr">
        <is>
          <t xml:space="preserve">Meridian Commerce Bank ····3101</t>
        </is>
      </c>
      <c r="I404" s="0" t="str">
        <f>HYPERLINK("meridian-subpoena-2026-07.pdf#page=1","A-9 p.1 l.27")</f>
        <v>A-9 p.1 l.27</v>
      </c>
    </row>
    <row r="405">
      <c r="A405" s="2">
        <v>46216</v>
      </c>
      <c r="B405" s="0" t="inlineStr">
        <is>
          <t xml:space="preserve">POS PURCHASE SYSCO FOODS</t>
        </is>
      </c>
      <c r="C405" s="3">
        <v>-1616.8</v>
      </c>
      <c r="D405" s="3">
        <v>1616.8</v>
      </c>
      <c r="F405" s="3">
        <v>50239.27</v>
      </c>
      <c r="H405" s="0" t="inlineStr">
        <is>
          <t xml:space="preserve">Meridian Commerce Bank ····3101</t>
        </is>
      </c>
      <c r="I405" s="0" t="str">
        <f>HYPERLINK("meridian-subpoena-2026-07.pdf#page=1","A-9 p.1 l.28")</f>
        <v>A-9 p.1 l.28</v>
      </c>
    </row>
    <row r="406">
      <c r="A406" s="2">
        <v>46217</v>
      </c>
      <c r="B406" s="0" t="inlineStr">
        <is>
          <t xml:space="preserve">SQUARE INC DEPOSIT</t>
        </is>
      </c>
      <c r="C406" s="3">
        <v>2826.25</v>
      </c>
      <c r="E406" s="3">
        <v>2826.25</v>
      </c>
      <c r="F406" s="3">
        <v>53065.52</v>
      </c>
      <c r="H406" s="0" t="inlineStr">
        <is>
          <t xml:space="preserve">Meridian Commerce Bank ····3101</t>
        </is>
      </c>
      <c r="I406" s="0" t="str">
        <f>HYPERLINK("meridian-subpoena-2026-07.pdf#page=1","A-9 p.1 l.29")</f>
        <v>A-9 p.1 l.29</v>
      </c>
    </row>
    <row r="407">
      <c r="A407" s="2">
        <v>46217</v>
      </c>
      <c r="B407" s="0" t="inlineStr">
        <is>
          <t xml:space="preserve">ACH DEBIT FORWARD FINANCING REMIT</t>
        </is>
      </c>
      <c r="C407" s="3">
        <v>-449.0</v>
      </c>
      <c r="D407" s="3">
        <v>449.0</v>
      </c>
      <c r="F407" s="3">
        <v>52616.52</v>
      </c>
      <c r="H407" s="0" t="inlineStr">
        <is>
          <t xml:space="preserve">Meridian Commerce Bank ····3101</t>
        </is>
      </c>
      <c r="I407" s="0" t="str">
        <f>HYPERLINK("meridian-subpoena-2026-07.pdf#page=1","A-9 p.1 l.30")</f>
        <v>A-9 p.1 l.30</v>
      </c>
    </row>
    <row r="408">
      <c r="A408" s="2">
        <v>46218</v>
      </c>
      <c r="B408" s="0" t="inlineStr">
        <is>
          <t xml:space="preserve">SQUARE INC DEPOSIT</t>
        </is>
      </c>
      <c r="C408" s="3">
        <v>1892.77</v>
      </c>
      <c r="E408" s="3">
        <v>1892.77</v>
      </c>
      <c r="F408" s="3">
        <v>54509.29</v>
      </c>
      <c r="H408" s="0" t="inlineStr">
        <is>
          <t xml:space="preserve">Meridian Commerce Bank ····3101</t>
        </is>
      </c>
      <c r="I408" s="0" t="str">
        <f>HYPERLINK("meridian-subpoena-2026-07.pdf#page=1","A-9 p.1 l.31")</f>
        <v>A-9 p.1 l.31</v>
      </c>
    </row>
    <row r="409">
      <c r="A409" s="2">
        <v>46218</v>
      </c>
      <c r="B409" s="0" t="inlineStr">
        <is>
          <t xml:space="preserve">ACH DEBIT FORWARD FINANCING REMIT</t>
        </is>
      </c>
      <c r="C409" s="3">
        <v>-449.0</v>
      </c>
      <c r="D409" s="3">
        <v>449.0</v>
      </c>
      <c r="F409" s="3">
        <v>54060.29</v>
      </c>
      <c r="H409" s="0" t="inlineStr">
        <is>
          <t xml:space="preserve">Meridian Commerce Bank ····3101</t>
        </is>
      </c>
      <c r="I409" s="0" t="str">
        <f>HYPERLINK("meridian-subpoena-2026-07.pdf#page=1","A-9 p.1 l.32")</f>
        <v>A-9 p.1 l.32</v>
      </c>
    </row>
    <row r="410">
      <c r="A410" s="2">
        <v>46219</v>
      </c>
      <c r="B410" s="0" t="inlineStr">
        <is>
          <t xml:space="preserve">SQUARE INC DEPOSIT</t>
        </is>
      </c>
      <c r="C410" s="3">
        <v>2307.51</v>
      </c>
      <c r="E410" s="3">
        <v>2307.51</v>
      </c>
      <c r="F410" s="3">
        <v>56367.8</v>
      </c>
      <c r="H410" s="0" t="inlineStr">
        <is>
          <t xml:space="preserve">Meridian Commerce Bank ····3101</t>
        </is>
      </c>
      <c r="I410" s="0" t="str">
        <f>HYPERLINK("meridian-subpoena-2026-07.pdf#page=2","A-9 p.2 l.1")</f>
        <v>A-9 p.2 l.1</v>
      </c>
    </row>
    <row r="411">
      <c r="A411" s="2">
        <v>46219</v>
      </c>
      <c r="B411" s="0" t="inlineStr">
        <is>
          <t xml:space="preserve">ACH DEBIT FORWARD FINANCING REMIT</t>
        </is>
      </c>
      <c r="C411" s="3">
        <v>-449.0</v>
      </c>
      <c r="D411" s="3">
        <v>449.0</v>
      </c>
      <c r="F411" s="3">
        <v>55918.8</v>
      </c>
      <c r="H411" s="0" t="inlineStr">
        <is>
          <t xml:space="preserve">Meridian Commerce Bank ····3101</t>
        </is>
      </c>
      <c r="I411" s="0" t="str">
        <f>HYPERLINK("meridian-subpoena-2026-07.pdf#page=2","A-9 p.2 l.2")</f>
        <v>A-9 p.2 l.2</v>
      </c>
    </row>
    <row r="412">
      <c r="A412" s="2">
        <v>46220</v>
      </c>
      <c r="B412" s="0" t="inlineStr">
        <is>
          <t xml:space="preserve">COUNTER DEPOSIT</t>
        </is>
      </c>
      <c r="C412" s="3">
        <v>4189.32</v>
      </c>
      <c r="E412" s="3">
        <v>4189.32</v>
      </c>
      <c r="F412" s="3">
        <v>60108.12</v>
      </c>
      <c r="H412" s="0" t="inlineStr">
        <is>
          <t xml:space="preserve">Meridian Commerce Bank ····3101</t>
        </is>
      </c>
      <c r="I412" s="0" t="str">
        <f>HYPERLINK("meridian-subpoena-2026-07.pdf#page=2","A-9 p.2 l.3")</f>
        <v>A-9 p.2 l.3</v>
      </c>
    </row>
    <row r="413">
      <c r="A413" s="2">
        <v>46220</v>
      </c>
      <c r="B413" s="0" t="inlineStr">
        <is>
          <t xml:space="preserve">ACH DEBIT FORWARD FINANCING REMIT</t>
        </is>
      </c>
      <c r="C413" s="3">
        <v>-449.0</v>
      </c>
      <c r="D413" s="3">
        <v>449.0</v>
      </c>
      <c r="F413" s="3">
        <v>59659.12</v>
      </c>
      <c r="H413" s="0" t="inlineStr">
        <is>
          <t xml:space="preserve">Meridian Commerce Bank ····3101</t>
        </is>
      </c>
      <c r="I413" s="0" t="str">
        <f>HYPERLINK("meridian-subpoena-2026-07.pdf#page=2","A-9 p.2 l.4")</f>
        <v>A-9 p.2 l.4</v>
      </c>
    </row>
    <row r="414">
      <c r="A414" s="2">
        <v>46220</v>
      </c>
      <c r="B414" s="0" t="inlineStr">
        <is>
          <t xml:space="preserve">POS PURCHASE ECOLAB SERVICES</t>
        </is>
      </c>
      <c r="C414" s="3">
        <v>-1312.79</v>
      </c>
      <c r="D414" s="3">
        <v>1312.79</v>
      </c>
      <c r="F414" s="3">
        <v>58346.33</v>
      </c>
      <c r="H414" s="0" t="inlineStr">
        <is>
          <t xml:space="preserve">Meridian Commerce Bank ····3101</t>
        </is>
      </c>
      <c r="I414" s="0" t="str">
        <f>HYPERLINK("meridian-subpoena-2026-07.pdf#page=2","A-9 p.2 l.5")</f>
        <v>A-9 p.2 l.5</v>
      </c>
    </row>
    <row r="415">
      <c r="A415" s="2">
        <v>46220</v>
      </c>
      <c r="B415" s="0" t="inlineStr">
        <is>
          <t xml:space="preserve">PAYCHEX PAYROLL 00197</t>
        </is>
      </c>
      <c r="C415" s="3">
        <v>-3265.4</v>
      </c>
      <c r="D415" s="3">
        <v>3265.4</v>
      </c>
      <c r="F415" s="3">
        <v>55080.93</v>
      </c>
      <c r="H415" s="0" t="inlineStr">
        <is>
          <t xml:space="preserve">Meridian Commerce Bank ····3101</t>
        </is>
      </c>
      <c r="I415" s="0" t="str">
        <f>HYPERLINK("meridian-subpoena-2026-07.pdf#page=2","A-9 p.2 l.6")</f>
        <v>A-9 p.2 l.6</v>
      </c>
    </row>
    <row r="416">
      <c r="A416" s="2">
        <v>46222</v>
      </c>
      <c r="B416" s="0" t="inlineStr">
        <is>
          <t xml:space="preserve">POS PURCHASE CINTAS CORP</t>
        </is>
      </c>
      <c r="C416" s="3">
        <v>-1108.24</v>
      </c>
      <c r="D416" s="3">
        <v>1108.24</v>
      </c>
      <c r="F416" s="3">
        <v>53972.69</v>
      </c>
      <c r="H416" s="0" t="inlineStr">
        <is>
          <t xml:space="preserve">Meridian Commerce Bank ····3101</t>
        </is>
      </c>
      <c r="I416" s="0" t="str">
        <f>HYPERLINK("meridian-subpoena-2026-07.pdf#page=2","A-9 p.2 l.7")</f>
        <v>A-9 p.2 l.7</v>
      </c>
    </row>
    <row r="417">
      <c r="A417" s="2">
        <v>46223</v>
      </c>
      <c r="B417" s="0" t="inlineStr">
        <is>
          <t xml:space="preserve">COUNTER DEPOSIT</t>
        </is>
      </c>
      <c r="C417" s="3">
        <v>2634.55</v>
      </c>
      <c r="E417" s="3">
        <v>2634.55</v>
      </c>
      <c r="F417" s="3">
        <v>56607.24</v>
      </c>
      <c r="H417" s="0" t="inlineStr">
        <is>
          <t xml:space="preserve">Meridian Commerce Bank ····3101</t>
        </is>
      </c>
      <c r="I417" s="0" t="str">
        <f>HYPERLINK("meridian-subpoena-2026-07.pdf#page=2","A-9 p.2 l.8")</f>
        <v>A-9 p.2 l.8</v>
      </c>
    </row>
    <row r="418">
      <c r="A418" s="2">
        <v>46223</v>
      </c>
      <c r="B418" s="0" t="inlineStr">
        <is>
          <t xml:space="preserve">ACH DEBIT FORWARD FINANCING REMIT</t>
        </is>
      </c>
      <c r="C418" s="3">
        <v>-449.0</v>
      </c>
      <c r="D418" s="3">
        <v>449.0</v>
      </c>
      <c r="F418" s="3">
        <v>56158.24</v>
      </c>
      <c r="H418" s="0" t="inlineStr">
        <is>
          <t xml:space="preserve">Meridian Commerce Bank ····3101</t>
        </is>
      </c>
      <c r="I418" s="0" t="str">
        <f>HYPERLINK("meridian-subpoena-2026-07.pdf#page=2","A-9 p.2 l.9")</f>
        <v>A-9 p.2 l.9</v>
      </c>
    </row>
    <row r="419">
      <c r="A419" s="2">
        <v>46224</v>
      </c>
      <c r="B419" s="0" t="inlineStr">
        <is>
          <t xml:space="preserve">SQUARE INC DEPOSIT</t>
        </is>
      </c>
      <c r="C419" s="3">
        <v>2294.38</v>
      </c>
      <c r="E419" s="3">
        <v>2294.38</v>
      </c>
      <c r="F419" s="3">
        <v>58452.62</v>
      </c>
      <c r="H419" s="0" t="inlineStr">
        <is>
          <t xml:space="preserve">Meridian Commerce Bank ····3101</t>
        </is>
      </c>
      <c r="I419" s="0" t="str">
        <f>HYPERLINK("meridian-subpoena-2026-07.pdf#page=2","A-9 p.2 l.10")</f>
        <v>A-9 p.2 l.10</v>
      </c>
    </row>
    <row r="420">
      <c r="A420" s="2">
        <v>46224</v>
      </c>
      <c r="B420" s="0" t="inlineStr">
        <is>
          <t xml:space="preserve">NSF RETURN ITEM FEE</t>
        </is>
      </c>
      <c r="C420" s="3">
        <v>-35.0</v>
      </c>
      <c r="D420" s="3">
        <v>35.0</v>
      </c>
      <c r="F420" s="3">
        <v>58417.62</v>
      </c>
      <c r="H420" s="0" t="inlineStr">
        <is>
          <t xml:space="preserve">Meridian Commerce Bank ····3101</t>
        </is>
      </c>
      <c r="I420" s="0" t="str">
        <f>HYPERLINK("meridian-subpoena-2026-07.pdf#page=2","A-9 p.2 l.11")</f>
        <v>A-9 p.2 l.11</v>
      </c>
    </row>
    <row r="421">
      <c r="A421" s="2">
        <v>46224</v>
      </c>
      <c r="B421" s="0" t="inlineStr">
        <is>
          <t xml:space="preserve">ACH DEBIT FORWARD FINANCING REMIT</t>
        </is>
      </c>
      <c r="C421" s="3">
        <v>-449.0</v>
      </c>
      <c r="D421" s="3">
        <v>449.0</v>
      </c>
      <c r="F421" s="3">
        <v>57968.62</v>
      </c>
      <c r="H421" s="0" t="inlineStr">
        <is>
          <t xml:space="preserve">Meridian Commerce Bank ····3101</t>
        </is>
      </c>
      <c r="I421" s="0" t="str">
        <f>HYPERLINK("meridian-subpoena-2026-07.pdf#page=2","A-9 p.2 l.12")</f>
        <v>A-9 p.2 l.12</v>
      </c>
    </row>
    <row r="422">
      <c r="A422" s="2">
        <v>46224</v>
      </c>
      <c r="B422" s="0" t="inlineStr">
        <is>
          <t xml:space="preserve">RETURNED ITEM - INSUFFICIENT FUNDS</t>
        </is>
      </c>
      <c r="C422" s="3">
        <v>-490.98</v>
      </c>
      <c r="D422" s="3">
        <v>490.98</v>
      </c>
      <c r="F422" s="3">
        <v>57477.64</v>
      </c>
      <c r="H422" s="0" t="inlineStr">
        <is>
          <t xml:space="preserve">Meridian Commerce Bank ····3101</t>
        </is>
      </c>
      <c r="I422" s="0" t="str">
        <f>HYPERLINK("meridian-subpoena-2026-07.pdf#page=2","A-9 p.2 l.13")</f>
        <v>A-9 p.2 l.13</v>
      </c>
    </row>
    <row r="423">
      <c r="A423" s="2">
        <v>46224</v>
      </c>
      <c r="B423" s="0" t="inlineStr">
        <is>
          <t xml:space="preserve">POS PURCHASE ECOLAB SERVICES</t>
        </is>
      </c>
      <c r="C423" s="3">
        <v>-2062.04</v>
      </c>
      <c r="D423" s="3">
        <v>2062.04</v>
      </c>
      <c r="F423" s="3">
        <v>55415.6</v>
      </c>
      <c r="H423" s="0" t="inlineStr">
        <is>
          <t xml:space="preserve">Meridian Commerce Bank ····3101</t>
        </is>
      </c>
      <c r="I423" s="0" t="str">
        <f>HYPERLINK("meridian-subpoena-2026-07.pdf#page=2","A-9 p.2 l.14")</f>
        <v>A-9 p.2 l.14</v>
      </c>
    </row>
    <row r="424">
      <c r="A424" s="2">
        <v>46225</v>
      </c>
      <c r="B424" s="0" t="inlineStr">
        <is>
          <t xml:space="preserve">SQUARE INC DEPOSIT</t>
        </is>
      </c>
      <c r="C424" s="3">
        <v>2173.25</v>
      </c>
      <c r="E424" s="3">
        <v>2173.25</v>
      </c>
      <c r="F424" s="3">
        <v>57588.85</v>
      </c>
      <c r="H424" s="0" t="inlineStr">
        <is>
          <t xml:space="preserve">Meridian Commerce Bank ····3101</t>
        </is>
      </c>
      <c r="I424" s="0" t="str">
        <f>HYPERLINK("meridian-subpoena-2026-07.pdf#page=2","A-9 p.2 l.15")</f>
        <v>A-9 p.2 l.15</v>
      </c>
    </row>
    <row r="425">
      <c r="A425" s="2">
        <v>46225</v>
      </c>
      <c r="B425" s="0" t="inlineStr">
        <is>
          <t xml:space="preserve">POS PURCHASE US FOODS</t>
        </is>
      </c>
      <c r="C425" s="3">
        <v>-250.35</v>
      </c>
      <c r="D425" s="3">
        <v>250.35</v>
      </c>
      <c r="F425" s="3">
        <v>57338.5</v>
      </c>
      <c r="H425" s="0" t="inlineStr">
        <is>
          <t xml:space="preserve">Meridian Commerce Bank ····3101</t>
        </is>
      </c>
      <c r="I425" s="0" t="str">
        <f>HYPERLINK("meridian-subpoena-2026-07.pdf#page=2","A-9 p.2 l.16")</f>
        <v>A-9 p.2 l.16</v>
      </c>
    </row>
    <row r="426">
      <c r="A426" s="2">
        <v>46225</v>
      </c>
      <c r="B426" s="0" t="inlineStr">
        <is>
          <t xml:space="preserve">ACH DEBIT FORWARD FINANCING REMIT</t>
        </is>
      </c>
      <c r="C426" s="3">
        <v>-449.0</v>
      </c>
      <c r="D426" s="3">
        <v>449.0</v>
      </c>
      <c r="F426" s="3">
        <v>56889.5</v>
      </c>
      <c r="H426" s="0" t="inlineStr">
        <is>
          <t xml:space="preserve">Meridian Commerce Bank ····3101</t>
        </is>
      </c>
      <c r="I426" s="0" t="str">
        <f>HYPERLINK("meridian-subpoena-2026-07.pdf#page=2","A-9 p.2 l.17")</f>
        <v>A-9 p.2 l.17</v>
      </c>
    </row>
    <row r="427">
      <c r="A427" s="2">
        <v>46226</v>
      </c>
      <c r="B427" s="0" t="inlineStr">
        <is>
          <t xml:space="preserve">COUNTER DEPOSIT</t>
        </is>
      </c>
      <c r="C427" s="3">
        <v>3218.68</v>
      </c>
      <c r="E427" s="3">
        <v>3218.68</v>
      </c>
      <c r="F427" s="3">
        <v>60108.18</v>
      </c>
      <c r="H427" s="0" t="inlineStr">
        <is>
          <t xml:space="preserve">Meridian Commerce Bank ····3101</t>
        </is>
      </c>
      <c r="I427" s="0" t="str">
        <f>HYPERLINK("meridian-subpoena-2026-07.pdf#page=2","A-9 p.2 l.18")</f>
        <v>A-9 p.2 l.18</v>
      </c>
    </row>
    <row r="428">
      <c r="A428" s="2">
        <v>46226</v>
      </c>
      <c r="B428" s="0" t="inlineStr">
        <is>
          <t xml:space="preserve">ACH DEBIT FORWARD FINANCING REMIT</t>
        </is>
      </c>
      <c r="C428" s="3">
        <v>-449.0</v>
      </c>
      <c r="D428" s="3">
        <v>449.0</v>
      </c>
      <c r="F428" s="3">
        <v>59659.18</v>
      </c>
      <c r="H428" s="0" t="inlineStr">
        <is>
          <t xml:space="preserve">Meridian Commerce Bank ····3101</t>
        </is>
      </c>
      <c r="I428" s="0" t="str">
        <f>HYPERLINK("meridian-subpoena-2026-07.pdf#page=2","A-9 p.2 l.19")</f>
        <v>A-9 p.2 l.19</v>
      </c>
    </row>
    <row r="429">
      <c r="A429" s="2">
        <v>46227</v>
      </c>
      <c r="B429" s="0" t="inlineStr">
        <is>
          <t xml:space="preserve">MERCHANT BANKCD DEPOSIT</t>
        </is>
      </c>
      <c r="C429" s="3">
        <v>3399.51</v>
      </c>
      <c r="E429" s="3">
        <v>3399.51</v>
      </c>
      <c r="F429" s="3">
        <v>63058.69</v>
      </c>
      <c r="H429" s="0" t="inlineStr">
        <is>
          <t xml:space="preserve">Meridian Commerce Bank ····3101</t>
        </is>
      </c>
      <c r="I429" s="0" t="str">
        <f>HYPERLINK("meridian-subpoena-2026-07.pdf#page=2","A-9 p.2 l.20")</f>
        <v>A-9 p.2 l.20</v>
      </c>
    </row>
    <row r="430">
      <c r="A430" s="2">
        <v>46227</v>
      </c>
      <c r="B430" s="0" t="inlineStr">
        <is>
          <t xml:space="preserve">ACH DEBIT FORWARD FINANCING REMIT</t>
        </is>
      </c>
      <c r="C430" s="3">
        <v>-449.0</v>
      </c>
      <c r="D430" s="3">
        <v>449.0</v>
      </c>
      <c r="F430" s="3">
        <v>62609.69</v>
      </c>
      <c r="H430" s="0" t="inlineStr">
        <is>
          <t xml:space="preserve">Meridian Commerce Bank ····3101</t>
        </is>
      </c>
      <c r="I430" s="0" t="str">
        <f>HYPERLINK("meridian-subpoena-2026-07.pdf#page=2","A-9 p.2 l.21")</f>
        <v>A-9 p.2 l.21</v>
      </c>
    </row>
    <row r="431">
      <c r="A431" s="2">
        <v>46227</v>
      </c>
      <c r="B431" s="0" t="inlineStr">
        <is>
          <t xml:space="preserve">PAYCHEX PAYROLL 00198</t>
        </is>
      </c>
      <c r="C431" s="3">
        <v>-3265.4</v>
      </c>
      <c r="D431" s="3">
        <v>3265.4</v>
      </c>
      <c r="F431" s="3">
        <v>59344.29</v>
      </c>
      <c r="H431" s="0" t="inlineStr">
        <is>
          <t xml:space="preserve">Meridian Commerce Bank ····3101</t>
        </is>
      </c>
      <c r="I431" s="0" t="str">
        <f>HYPERLINK("meridian-subpoena-2026-07.pdf#page=2","A-9 p.2 l.22")</f>
        <v>A-9 p.2 l.22</v>
      </c>
    </row>
    <row r="432">
      <c r="A432" s="2">
        <v>46228</v>
      </c>
      <c r="B432" s="0" t="inlineStr">
        <is>
          <t xml:space="preserve">POS PURCHASE US FOODS</t>
        </is>
      </c>
      <c r="C432" s="3">
        <v>-1943.01</v>
      </c>
      <c r="D432" s="3">
        <v>1943.01</v>
      </c>
      <c r="F432" s="3">
        <v>57401.28</v>
      </c>
      <c r="H432" s="0" t="inlineStr">
        <is>
          <t xml:space="preserve">Meridian Commerce Bank ····3101</t>
        </is>
      </c>
      <c r="I432" s="0" t="str">
        <f>HYPERLINK("meridian-subpoena-2026-07.pdf#page=2","A-9 p.2 l.23")</f>
        <v>A-9 p.2 l.23</v>
      </c>
    </row>
    <row r="433">
      <c r="A433" s="2">
        <v>46229</v>
      </c>
      <c r="B433" s="0" t="inlineStr">
        <is>
          <t xml:space="preserve">POS PURCHASE PEPSI BOTTLING</t>
        </is>
      </c>
      <c r="C433" s="3">
        <v>-469.45</v>
      </c>
      <c r="D433" s="3">
        <v>469.45</v>
      </c>
      <c r="F433" s="3">
        <v>56931.83</v>
      </c>
      <c r="H433" s="0" t="inlineStr">
        <is>
          <t xml:space="preserve">Meridian Commerce Bank ····3101</t>
        </is>
      </c>
      <c r="I433" s="0" t="str">
        <f>HYPERLINK("meridian-subpoena-2026-07.pdf#page=2","A-9 p.2 l.24")</f>
        <v>A-9 p.2 l.24</v>
      </c>
    </row>
    <row r="434">
      <c r="A434" s="2">
        <v>46230</v>
      </c>
      <c r="B434" s="0" t="inlineStr">
        <is>
          <t xml:space="preserve">MERCHANT BANKCD DEPOSIT</t>
        </is>
      </c>
      <c r="C434" s="3">
        <v>3538.45</v>
      </c>
      <c r="E434" s="3">
        <v>3538.45</v>
      </c>
      <c r="F434" s="3">
        <v>60470.28</v>
      </c>
      <c r="H434" s="0" t="inlineStr">
        <is>
          <t xml:space="preserve">Meridian Commerce Bank ····3101</t>
        </is>
      </c>
      <c r="I434" s="0" t="str">
        <f>HYPERLINK("meridian-subpoena-2026-07.pdf#page=2","A-9 p.2 l.25")</f>
        <v>A-9 p.2 l.25</v>
      </c>
    </row>
    <row r="435">
      <c r="A435" s="2">
        <v>46230</v>
      </c>
      <c r="B435" s="0" t="inlineStr">
        <is>
          <t xml:space="preserve">ACH DEBIT FORWARD FINANCING REMIT</t>
        </is>
      </c>
      <c r="C435" s="3">
        <v>-449.0</v>
      </c>
      <c r="D435" s="3">
        <v>449.0</v>
      </c>
      <c r="F435" s="3">
        <v>60021.28</v>
      </c>
      <c r="H435" s="0" t="inlineStr">
        <is>
          <t xml:space="preserve">Meridian Commerce Bank ····3101</t>
        </is>
      </c>
      <c r="I435" s="0" t="str">
        <f>HYPERLINK("meridian-subpoena-2026-07.pdf#page=2","A-9 p.2 l.26")</f>
        <v>A-9 p.2 l.26</v>
      </c>
    </row>
    <row r="436">
      <c r="A436" s="2">
        <v>46231</v>
      </c>
      <c r="B436" s="0" t="inlineStr">
        <is>
          <t xml:space="preserve">COUNTER DEPOSIT</t>
        </is>
      </c>
      <c r="C436" s="3">
        <v>2767.84</v>
      </c>
      <c r="E436" s="3">
        <v>2767.84</v>
      </c>
      <c r="F436" s="3">
        <v>62789.12</v>
      </c>
      <c r="H436" s="0" t="inlineStr">
        <is>
          <t xml:space="preserve">Meridian Commerce Bank ····3101</t>
        </is>
      </c>
      <c r="I436" s="0" t="str">
        <f>HYPERLINK("meridian-subpoena-2026-07.pdf#page=2","A-9 p.2 l.27")</f>
        <v>A-9 p.2 l.27</v>
      </c>
    </row>
    <row r="437">
      <c r="A437" s="2">
        <v>46231</v>
      </c>
      <c r="B437" s="0" t="inlineStr">
        <is>
          <t xml:space="preserve">ACH DEBIT FORWARD FINANCING REMIT</t>
        </is>
      </c>
      <c r="C437" s="3">
        <v>-449.0</v>
      </c>
      <c r="D437" s="3">
        <v>449.0</v>
      </c>
      <c r="F437" s="3">
        <v>62340.12</v>
      </c>
      <c r="H437" s="0" t="inlineStr">
        <is>
          <t xml:space="preserve">Meridian Commerce Bank ····3101</t>
        </is>
      </c>
      <c r="I437" s="0" t="str">
        <f>HYPERLINK("meridian-subpoena-2026-07.pdf#page=2","A-9 p.2 l.28")</f>
        <v>A-9 p.2 l.28</v>
      </c>
    </row>
    <row r="438">
      <c r="A438" s="2">
        <v>46231</v>
      </c>
      <c r="B438" s="0" t="inlineStr">
        <is>
          <t xml:space="preserve">POS PURCHASE WASTE MGMT</t>
        </is>
      </c>
      <c r="C438" s="3">
        <v>-478.24</v>
      </c>
      <c r="D438" s="3">
        <v>478.24</v>
      </c>
      <c r="F438" s="3">
        <v>61861.88</v>
      </c>
      <c r="H438" s="0" t="inlineStr">
        <is>
          <t xml:space="preserve">Meridian Commerce Bank ····3101</t>
        </is>
      </c>
      <c r="I438" s="0" t="str">
        <f>HYPERLINK("meridian-subpoena-2026-07.pdf#page=2","A-9 p.2 l.29")</f>
        <v>A-9 p.2 l.29</v>
      </c>
    </row>
    <row r="439">
      <c r="A439" s="2">
        <v>46232</v>
      </c>
      <c r="B439" s="0" t="inlineStr">
        <is>
          <t xml:space="preserve">COUNTER DEPOSIT</t>
        </is>
      </c>
      <c r="C439" s="3">
        <v>3243.41</v>
      </c>
      <c r="E439" s="3">
        <v>3243.41</v>
      </c>
      <c r="F439" s="3">
        <v>65105.29</v>
      </c>
      <c r="H439" s="0" t="inlineStr">
        <is>
          <t xml:space="preserve">Meridian Commerce Bank ····3101</t>
        </is>
      </c>
      <c r="I439" s="0" t="str">
        <f>HYPERLINK("meridian-subpoena-2026-07.pdf#page=2","A-9 p.2 l.30")</f>
        <v>A-9 p.2 l.30</v>
      </c>
    </row>
    <row r="440">
      <c r="A440" s="2">
        <v>46232</v>
      </c>
      <c r="B440" s="0" t="inlineStr">
        <is>
          <t xml:space="preserve">NSF RETURN ITEM FEE</t>
        </is>
      </c>
      <c r="C440" s="3">
        <v>-35.0</v>
      </c>
      <c r="D440" s="3">
        <v>35.0</v>
      </c>
      <c r="F440" s="3">
        <v>65070.29</v>
      </c>
      <c r="H440" s="0" t="inlineStr">
        <is>
          <t xml:space="preserve">Meridian Commerce Bank ····3101</t>
        </is>
      </c>
      <c r="I440" s="0" t="str">
        <f>HYPERLINK("meridian-subpoena-2026-07.pdf#page=2","A-9 p.2 l.31")</f>
        <v>A-9 p.2 l.31</v>
      </c>
    </row>
    <row r="441">
      <c r="A441" s="2">
        <v>46232</v>
      </c>
      <c r="B441" s="0" t="inlineStr">
        <is>
          <t xml:space="preserve">RETURNED ITEM - INSUFFICIENT FUNDS</t>
        </is>
      </c>
      <c r="C441" s="3">
        <v>-309.2</v>
      </c>
      <c r="D441" s="3">
        <v>309.2</v>
      </c>
      <c r="F441" s="3">
        <v>64761.09</v>
      </c>
      <c r="H441" s="0" t="inlineStr">
        <is>
          <t xml:space="preserve">Meridian Commerce Bank ····3101</t>
        </is>
      </c>
      <c r="I441" s="0" t="str">
        <f>HYPERLINK("meridian-subpoena-2026-07.pdf#page=2","A-9 p.2 l.32")</f>
        <v>A-9 p.2 l.32</v>
      </c>
    </row>
    <row r="442">
      <c r="A442" s="2">
        <v>46232</v>
      </c>
      <c r="B442" s="0" t="inlineStr">
        <is>
          <t xml:space="preserve">ACH DEBIT FORWARD FINANCING REMIT</t>
        </is>
      </c>
      <c r="C442" s="3">
        <v>-449.0</v>
      </c>
      <c r="D442" s="3">
        <v>449.0</v>
      </c>
      <c r="F442" s="3">
        <v>64312.09</v>
      </c>
      <c r="H442" s="0" t="inlineStr">
        <is>
          <t xml:space="preserve">Meridian Commerce Bank ····3101</t>
        </is>
      </c>
      <c r="I442" s="0" t="str">
        <f>HYPERLINK("meridian-subpoena-2026-07.pdf#page=2","A-9 p.2 l.33")</f>
        <v>A-9 p.2 l.33</v>
      </c>
    </row>
    <row r="443">
      <c r="A443" s="2">
        <v>46232</v>
      </c>
      <c r="B443" s="0" t="inlineStr">
        <is>
          <t xml:space="preserve">POS PURCHASE SHELL OIL</t>
        </is>
      </c>
      <c r="C443" s="3">
        <v>-920.01</v>
      </c>
      <c r="D443" s="3">
        <v>920.01</v>
      </c>
      <c r="F443" s="3">
        <v>63392.08</v>
      </c>
      <c r="H443" s="0" t="inlineStr">
        <is>
          <t xml:space="preserve">Meridian Commerce Bank ····3101</t>
        </is>
      </c>
      <c r="I443" s="0" t="str">
        <f>HYPERLINK("meridian-subpoena-2026-07.pdf#page=2","A-9 p.2 l.34")</f>
        <v>A-9 p.2 l.34</v>
      </c>
    </row>
    <row r="444">
      <c r="A444" s="2">
        <v>46232</v>
      </c>
      <c r="B444" s="0" t="inlineStr">
        <is>
          <t xml:space="preserve">POS PURCHASE ECOLAB SERVICES</t>
        </is>
      </c>
      <c r="C444" s="3">
        <v>-2287.82</v>
      </c>
      <c r="D444" s="3">
        <v>2287.82</v>
      </c>
      <c r="F444" s="3">
        <v>61104.26</v>
      </c>
      <c r="H444" s="0" t="inlineStr">
        <is>
          <t xml:space="preserve">Meridian Commerce Bank ····3101</t>
        </is>
      </c>
      <c r="I444" s="0" t="str">
        <f>HYPERLINK("meridian-subpoena-2026-07.pdf#page=2","A-9 p.2 l.35")</f>
        <v>A-9 p.2 l.35</v>
      </c>
    </row>
    <row r="445">
      <c r="A445" s="2">
        <v>46233</v>
      </c>
      <c r="B445" s="0" t="inlineStr">
        <is>
          <t xml:space="preserve">MERCHANT BANKCD DEPOSIT</t>
        </is>
      </c>
      <c r="C445" s="3">
        <v>3526.07</v>
      </c>
      <c r="E445" s="3">
        <v>3526.07</v>
      </c>
      <c r="F445" s="3">
        <v>64630.33</v>
      </c>
      <c r="H445" s="0" t="inlineStr">
        <is>
          <t xml:space="preserve">Meridian Commerce Bank ····3101</t>
        </is>
      </c>
      <c r="I445" s="0" t="str">
        <f>HYPERLINK("meridian-subpoena-2026-07.pdf#page=2","A-9 p.2 l.36")</f>
        <v>A-9 p.2 l.36</v>
      </c>
    </row>
    <row r="446">
      <c r="A446" s="2">
        <v>46233</v>
      </c>
      <c r="B446" s="0" t="inlineStr">
        <is>
          <t xml:space="preserve">ACH DEBIT FORWARD FINANCING REMIT</t>
        </is>
      </c>
      <c r="C446" s="3">
        <v>-449.0</v>
      </c>
      <c r="D446" s="3">
        <v>449.0</v>
      </c>
      <c r="F446" s="3">
        <v>64181.33</v>
      </c>
      <c r="H446" s="0" t="inlineStr">
        <is>
          <t xml:space="preserve">Meridian Commerce Bank ····3101</t>
        </is>
      </c>
      <c r="I446" s="0" t="str">
        <f>HYPERLINK("meridian-subpoena-2026-07.pdf#page=2","A-9 p.2 l.37")</f>
        <v>A-9 p.2 l.37</v>
      </c>
    </row>
    <row r="447">
      <c r="A447" s="2">
        <v>46233</v>
      </c>
      <c r="B447" s="0" t="inlineStr">
        <is>
          <t xml:space="preserve">POS PURCHASE PEPSI BOTTLING</t>
        </is>
      </c>
      <c r="C447" s="3">
        <v>-793.4</v>
      </c>
      <c r="D447" s="3">
        <v>793.4</v>
      </c>
      <c r="F447" s="3">
        <v>63387.93</v>
      </c>
      <c r="H447" s="0" t="inlineStr">
        <is>
          <t xml:space="preserve">Meridian Commerce Bank ····3101</t>
        </is>
      </c>
      <c r="I447" s="0" t="str">
        <f>HYPERLINK("meridian-subpoena-2026-07.pdf#page=2","A-9 p.2 l.38")</f>
        <v>A-9 p.2 l.38</v>
      </c>
    </row>
    <row r="448">
      <c r="A448" s="2">
        <v>46234</v>
      </c>
      <c r="B448" s="0" t="inlineStr">
        <is>
          <t xml:space="preserve">MERCHANT BANKCD DEPOSIT</t>
        </is>
      </c>
      <c r="C448" s="3">
        <v>3619.06</v>
      </c>
      <c r="E448" s="3">
        <v>3619.06</v>
      </c>
      <c r="F448" s="3">
        <v>67006.99</v>
      </c>
      <c r="H448" s="0" t="inlineStr">
        <is>
          <t xml:space="preserve">Meridian Commerce Bank ····3101</t>
        </is>
      </c>
      <c r="I448" s="0" t="str">
        <f>HYPERLINK("meridian-subpoena-2026-07.pdf#page=2","A-9 p.2 l.39")</f>
        <v>A-9 p.2 l.39</v>
      </c>
    </row>
    <row r="449">
      <c r="A449" s="2">
        <v>46234</v>
      </c>
      <c r="B449" s="0" t="inlineStr">
        <is>
          <t xml:space="preserve">POS PURCHASE WASTE MGMT</t>
        </is>
      </c>
      <c r="C449" s="3">
        <v>-400.06</v>
      </c>
      <c r="D449" s="3">
        <v>400.06</v>
      </c>
      <c r="F449" s="3">
        <v>66606.93</v>
      </c>
      <c r="H449" s="0" t="inlineStr">
        <is>
          <t xml:space="preserve">Meridian Commerce Bank ····3101</t>
        </is>
      </c>
      <c r="I449" s="0" t="str">
        <f>HYPERLINK("meridian-subpoena-2026-07.pdf#page=2","A-9 p.2 l.40")</f>
        <v>A-9 p.2 l.40</v>
      </c>
    </row>
    <row r="450">
      <c r="A450" s="2">
        <v>46234</v>
      </c>
      <c r="B450" s="0" t="inlineStr">
        <is>
          <t xml:space="preserve">ACH DEBIT FORWARD FINANCING REMIT</t>
        </is>
      </c>
      <c r="C450" s="3">
        <v>-449.0</v>
      </c>
      <c r="D450" s="3">
        <v>449.0</v>
      </c>
      <c r="F450" s="3">
        <v>66157.93</v>
      </c>
      <c r="H450" s="0" t="inlineStr">
        <is>
          <t xml:space="preserve">Meridian Commerce Bank ····3101</t>
        </is>
      </c>
      <c r="I450" s="0" t="str">
        <f>HYPERLINK("meridian-subpoena-2026-07.pdf#page=2","A-9 p.2 l.41")</f>
        <v>A-9 p.2 l.41</v>
      </c>
    </row>
    <row r="451">
      <c r="A451" s="2">
        <v>46234</v>
      </c>
      <c r="B451" s="0" t="inlineStr">
        <is>
          <t xml:space="preserve">PAYCHEX PAYROLL 00199</t>
        </is>
      </c>
      <c r="C451" s="3">
        <v>-3265.4</v>
      </c>
      <c r="D451" s="3">
        <v>3265.4</v>
      </c>
      <c r="F451" s="3">
        <v>62892.53</v>
      </c>
      <c r="H451" s="0" t="inlineStr">
        <is>
          <t xml:space="preserve">Meridian Commerce Bank ····3101</t>
        </is>
      </c>
      <c r="I451" s="0" t="str">
        <f>HYPERLINK("meridian-subpoena-2026-07.pdf#page=2","A-9 p.2 l.42")</f>
        <v>A-9 p.2 l.42</v>
      </c>
    </row>
  </sheetData>
</worksheet>
</file>